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ikael Chenko\Downloads\"/>
    </mc:Choice>
  </mc:AlternateContent>
  <xr:revisionPtr revIDLastSave="0" documentId="13_ncr:1_{0FA2B1FF-007E-4796-80CE-A9989FB60104}" xr6:coauthVersionLast="47" xr6:coauthVersionMax="47" xr10:uidLastSave="{00000000-0000-0000-0000-000000000000}"/>
  <bookViews>
    <workbookView xWindow="-108" yWindow="-108" windowWidth="23256" windowHeight="12456" firstSheet="1" activeTab="3" xr2:uid="{00000000-000D-0000-FFFF-FFFF00000000}"/>
  </bookViews>
  <sheets>
    <sheet name="MONTHENTRY" sheetId="8" state="hidden" r:id="rId1"/>
    <sheet name="Sum &amp; FG" sheetId="4" r:id="rId2"/>
    <sheet name="State Details" sheetId="12" r:id="rId3"/>
    <sheet name="Sheet1" sheetId="19" r:id="rId4"/>
    <sheet name="LG Details" sheetId="17" r:id="rId5"/>
    <sheet name="Ecology to States" sheetId="13" r:id="rId6"/>
    <sheet name="SumSum" sheetId="14" r:id="rId7"/>
    <sheet name="Ecology to Individual LGCs" sheetId="18" r:id="rId8"/>
  </sheets>
  <definedNames>
    <definedName name="ACCTDATE">#REF!</definedName>
    <definedName name="acctmonth">MONTHENTRY!$F$6</definedName>
    <definedName name="previuosmonth">MONTHENTRY!$B$6</definedName>
    <definedName name="_xlnm.Print_Area" localSheetId="6">SumSum!$A$1:$I$44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33" i="4" l="1"/>
  <c r="E31" i="4"/>
  <c r="E29" i="4"/>
  <c r="D780" i="18"/>
  <c r="H44" i="14"/>
  <c r="E44" i="14"/>
  <c r="C44" i="14"/>
  <c r="I43" i="14"/>
  <c r="G43" i="14"/>
  <c r="I42" i="14"/>
  <c r="G42" i="14"/>
  <c r="G41" i="14"/>
  <c r="I41" i="14" s="1"/>
  <c r="I40" i="14"/>
  <c r="G40" i="14"/>
  <c r="I39" i="14"/>
  <c r="G39" i="14"/>
  <c r="D39" i="14"/>
  <c r="G38" i="14"/>
  <c r="I38" i="14" s="1"/>
  <c r="F38" i="14"/>
  <c r="F37" i="14"/>
  <c r="G37" i="14" s="1"/>
  <c r="I37" i="14" s="1"/>
  <c r="G36" i="14"/>
  <c r="D36" i="14"/>
  <c r="I36" i="14" s="1"/>
  <c r="I35" i="14"/>
  <c r="G35" i="14"/>
  <c r="D35" i="14"/>
  <c r="F34" i="14"/>
  <c r="G34" i="14" s="1"/>
  <c r="I34" i="14" s="1"/>
  <c r="D34" i="14"/>
  <c r="I33" i="14"/>
  <c r="G33" i="14"/>
  <c r="D33" i="14"/>
  <c r="F32" i="14"/>
  <c r="G32" i="14" s="1"/>
  <c r="I32" i="14" s="1"/>
  <c r="G31" i="14"/>
  <c r="D31" i="14"/>
  <c r="I31" i="14" s="1"/>
  <c r="I30" i="14"/>
  <c r="G30" i="14"/>
  <c r="F29" i="14"/>
  <c r="G29" i="14" s="1"/>
  <c r="I29" i="14" s="1"/>
  <c r="F28" i="14"/>
  <c r="G28" i="14" s="1"/>
  <c r="I28" i="14" s="1"/>
  <c r="D28" i="14"/>
  <c r="F27" i="14"/>
  <c r="G27" i="14" s="1"/>
  <c r="I27" i="14" s="1"/>
  <c r="I26" i="14"/>
  <c r="G26" i="14"/>
  <c r="G25" i="14"/>
  <c r="I25" i="14" s="1"/>
  <c r="D25" i="14"/>
  <c r="G24" i="14"/>
  <c r="I24" i="14" s="1"/>
  <c r="G23" i="14"/>
  <c r="I23" i="14" s="1"/>
  <c r="F22" i="14"/>
  <c r="G22" i="14" s="1"/>
  <c r="I22" i="14" s="1"/>
  <c r="I21" i="14"/>
  <c r="G21" i="14"/>
  <c r="D21" i="14"/>
  <c r="G20" i="14"/>
  <c r="I20" i="14" s="1"/>
  <c r="G19" i="14"/>
  <c r="I19" i="14" s="1"/>
  <c r="I18" i="14"/>
  <c r="G18" i="14"/>
  <c r="F18" i="14"/>
  <c r="G17" i="14"/>
  <c r="D17" i="14"/>
  <c r="I17" i="14" s="1"/>
  <c r="G16" i="14"/>
  <c r="I16" i="14" s="1"/>
  <c r="F16" i="14"/>
  <c r="F15" i="14"/>
  <c r="G15" i="14" s="1"/>
  <c r="I15" i="14" s="1"/>
  <c r="D15" i="14"/>
  <c r="I14" i="14"/>
  <c r="G14" i="14"/>
  <c r="I13" i="14"/>
  <c r="G13" i="14"/>
  <c r="F13" i="14"/>
  <c r="D13" i="14"/>
  <c r="F12" i="14"/>
  <c r="G12" i="14" s="1"/>
  <c r="I12" i="14" s="1"/>
  <c r="G11" i="14"/>
  <c r="I11" i="14" s="1"/>
  <c r="I10" i="14"/>
  <c r="G10" i="14"/>
  <c r="F9" i="14"/>
  <c r="G9" i="14" s="1"/>
  <c r="I9" i="14" s="1"/>
  <c r="I8" i="14"/>
  <c r="G8" i="14"/>
  <c r="D8" i="14"/>
  <c r="D44" i="14" s="1"/>
  <c r="I7" i="14"/>
  <c r="G7" i="14"/>
  <c r="F7" i="14"/>
  <c r="C42" i="13"/>
  <c r="J413" i="17"/>
  <c r="G413" i="17"/>
  <c r="I413" i="17" s="1"/>
  <c r="E413" i="17"/>
  <c r="U412" i="17"/>
  <c r="R412" i="17"/>
  <c r="W412" i="17" s="1"/>
  <c r="K412" i="17"/>
  <c r="I412" i="17"/>
  <c r="F412" i="17"/>
  <c r="V411" i="17"/>
  <c r="T411" i="17"/>
  <c r="S411" i="17"/>
  <c r="U411" i="17" s="1"/>
  <c r="R411" i="17"/>
  <c r="Q411" i="17"/>
  <c r="K411" i="17"/>
  <c r="I411" i="17"/>
  <c r="F411" i="17"/>
  <c r="W410" i="17"/>
  <c r="U410" i="17"/>
  <c r="I410" i="17"/>
  <c r="F410" i="17"/>
  <c r="K410" i="17" s="1"/>
  <c r="W409" i="17"/>
  <c r="U409" i="17"/>
  <c r="I409" i="17"/>
  <c r="F409" i="17"/>
  <c r="K409" i="17" s="1"/>
  <c r="W408" i="17"/>
  <c r="U408" i="17"/>
  <c r="I408" i="17"/>
  <c r="F408" i="17"/>
  <c r="K408" i="17" s="1"/>
  <c r="W407" i="17"/>
  <c r="U407" i="17"/>
  <c r="I407" i="17"/>
  <c r="F407" i="17"/>
  <c r="K407" i="17" s="1"/>
  <c r="W406" i="17"/>
  <c r="U406" i="17"/>
  <c r="K406" i="17"/>
  <c r="I406" i="17"/>
  <c r="F406" i="17"/>
  <c r="W405" i="17"/>
  <c r="W411" i="17" s="1"/>
  <c r="U405" i="17"/>
  <c r="K405" i="17"/>
  <c r="I405" i="17"/>
  <c r="F405" i="17"/>
  <c r="V404" i="17"/>
  <c r="T404" i="17"/>
  <c r="S404" i="17"/>
  <c r="U404" i="17" s="1"/>
  <c r="R404" i="17"/>
  <c r="Q404" i="17"/>
  <c r="K404" i="17"/>
  <c r="I404" i="17"/>
  <c r="F404" i="17"/>
  <c r="W403" i="17"/>
  <c r="U403" i="17"/>
  <c r="I403" i="17"/>
  <c r="F403" i="17"/>
  <c r="K403" i="17" s="1"/>
  <c r="W402" i="17"/>
  <c r="U402" i="17"/>
  <c r="I402" i="17"/>
  <c r="F402" i="17"/>
  <c r="K402" i="17" s="1"/>
  <c r="W401" i="17"/>
  <c r="U401" i="17"/>
  <c r="K401" i="17"/>
  <c r="I401" i="17"/>
  <c r="F401" i="17"/>
  <c r="W400" i="17"/>
  <c r="U400" i="17"/>
  <c r="I400" i="17"/>
  <c r="F400" i="17"/>
  <c r="K400" i="17" s="1"/>
  <c r="W399" i="17"/>
  <c r="U399" i="17"/>
  <c r="I399" i="17"/>
  <c r="F399" i="17"/>
  <c r="K399" i="17" s="1"/>
  <c r="W398" i="17"/>
  <c r="U398" i="17"/>
  <c r="K398" i="17"/>
  <c r="I398" i="17"/>
  <c r="F398" i="17"/>
  <c r="W397" i="17"/>
  <c r="U397" i="17"/>
  <c r="I397" i="17"/>
  <c r="F397" i="17"/>
  <c r="K397" i="17" s="1"/>
  <c r="W396" i="17"/>
  <c r="U396" i="17"/>
  <c r="K396" i="17"/>
  <c r="I396" i="17"/>
  <c r="F396" i="17"/>
  <c r="W395" i="17"/>
  <c r="U395" i="17"/>
  <c r="I395" i="17"/>
  <c r="F395" i="17"/>
  <c r="K395" i="17" s="1"/>
  <c r="W394" i="17"/>
  <c r="U394" i="17"/>
  <c r="I394" i="17"/>
  <c r="F394" i="17"/>
  <c r="K394" i="17" s="1"/>
  <c r="W393" i="17"/>
  <c r="U393" i="17"/>
  <c r="I393" i="17"/>
  <c r="F393" i="17"/>
  <c r="K393" i="17" s="1"/>
  <c r="W392" i="17"/>
  <c r="U392" i="17"/>
  <c r="I392" i="17"/>
  <c r="F392" i="17"/>
  <c r="K392" i="17" s="1"/>
  <c r="W391" i="17"/>
  <c r="U391" i="17"/>
  <c r="I391" i="17"/>
  <c r="F391" i="17"/>
  <c r="K391" i="17" s="1"/>
  <c r="W390" i="17"/>
  <c r="W404" i="17" s="1"/>
  <c r="U390" i="17"/>
  <c r="K390" i="17"/>
  <c r="I390" i="17"/>
  <c r="F390" i="17"/>
  <c r="V389" i="17"/>
  <c r="T389" i="17"/>
  <c r="S389" i="17"/>
  <c r="U389" i="17" s="1"/>
  <c r="R389" i="17"/>
  <c r="Q389" i="17"/>
  <c r="I389" i="17"/>
  <c r="F389" i="17"/>
  <c r="K389" i="17" s="1"/>
  <c r="W388" i="17"/>
  <c r="U388" i="17"/>
  <c r="I388" i="17"/>
  <c r="F388" i="17"/>
  <c r="W387" i="17"/>
  <c r="U387" i="17"/>
  <c r="J387" i="17"/>
  <c r="G387" i="17"/>
  <c r="I387" i="17" s="1"/>
  <c r="F387" i="17"/>
  <c r="E387" i="17"/>
  <c r="W386" i="17"/>
  <c r="U386" i="17"/>
  <c r="K386" i="17"/>
  <c r="I386" i="17"/>
  <c r="W385" i="17"/>
  <c r="U385" i="17"/>
  <c r="K385" i="17"/>
  <c r="I385" i="17"/>
  <c r="W384" i="17"/>
  <c r="U384" i="17"/>
  <c r="K384" i="17"/>
  <c r="I384" i="17"/>
  <c r="W383" i="17"/>
  <c r="U383" i="17"/>
  <c r="K383" i="17"/>
  <c r="I383" i="17"/>
  <c r="W382" i="17"/>
  <c r="U382" i="17"/>
  <c r="K382" i="17"/>
  <c r="I382" i="17"/>
  <c r="W381" i="17"/>
  <c r="U381" i="17"/>
  <c r="K381" i="17"/>
  <c r="I381" i="17"/>
  <c r="W380" i="17"/>
  <c r="U380" i="17"/>
  <c r="K380" i="17"/>
  <c r="I380" i="17"/>
  <c r="W379" i="17"/>
  <c r="U379" i="17"/>
  <c r="K379" i="17"/>
  <c r="I379" i="17"/>
  <c r="W378" i="17"/>
  <c r="U378" i="17"/>
  <c r="K378" i="17"/>
  <c r="I378" i="17"/>
  <c r="W377" i="17"/>
  <c r="U377" i="17"/>
  <c r="K377" i="17"/>
  <c r="I377" i="17"/>
  <c r="W376" i="17"/>
  <c r="U376" i="17"/>
  <c r="K376" i="17"/>
  <c r="I376" i="17"/>
  <c r="W375" i="17"/>
  <c r="U375" i="17"/>
  <c r="K375" i="17"/>
  <c r="I375" i="17"/>
  <c r="W374" i="17"/>
  <c r="U374" i="17"/>
  <c r="K374" i="17"/>
  <c r="I374" i="17"/>
  <c r="W373" i="17"/>
  <c r="U373" i="17"/>
  <c r="K373" i="17"/>
  <c r="I373" i="17"/>
  <c r="W372" i="17"/>
  <c r="W389" i="17" s="1"/>
  <c r="U372" i="17"/>
  <c r="K372" i="17"/>
  <c r="I372" i="17"/>
  <c r="V371" i="17"/>
  <c r="U371" i="17"/>
  <c r="T371" i="17"/>
  <c r="S371" i="17"/>
  <c r="R371" i="17"/>
  <c r="Q371" i="17"/>
  <c r="K371" i="17"/>
  <c r="I371" i="17"/>
  <c r="W370" i="17"/>
  <c r="U370" i="17"/>
  <c r="K370" i="17"/>
  <c r="I370" i="17"/>
  <c r="W369" i="17"/>
  <c r="U369" i="17"/>
  <c r="K369" i="17"/>
  <c r="I369" i="17"/>
  <c r="W368" i="17"/>
  <c r="U368" i="17"/>
  <c r="K368" i="17"/>
  <c r="I368" i="17"/>
  <c r="W367" i="17"/>
  <c r="U367" i="17"/>
  <c r="K367" i="17"/>
  <c r="I367" i="17"/>
  <c r="W366" i="17"/>
  <c r="U366" i="17"/>
  <c r="K366" i="17"/>
  <c r="I366" i="17"/>
  <c r="W365" i="17"/>
  <c r="U365" i="17"/>
  <c r="K365" i="17"/>
  <c r="I365" i="17"/>
  <c r="W364" i="17"/>
  <c r="U364" i="17"/>
  <c r="K364" i="17"/>
  <c r="K387" i="17" s="1"/>
  <c r="I364" i="17"/>
  <c r="W363" i="17"/>
  <c r="U363" i="17"/>
  <c r="J363" i="17"/>
  <c r="G363" i="17"/>
  <c r="I363" i="17" s="1"/>
  <c r="F363" i="17"/>
  <c r="E363" i="17"/>
  <c r="W362" i="17"/>
  <c r="U362" i="17"/>
  <c r="K362" i="17"/>
  <c r="I362" i="17"/>
  <c r="W361" i="17"/>
  <c r="U361" i="17"/>
  <c r="K361" i="17"/>
  <c r="I361" i="17"/>
  <c r="W360" i="17"/>
  <c r="U360" i="17"/>
  <c r="K360" i="17"/>
  <c r="I360" i="17"/>
  <c r="W359" i="17"/>
  <c r="U359" i="17"/>
  <c r="K359" i="17"/>
  <c r="I359" i="17"/>
  <c r="W358" i="17"/>
  <c r="U358" i="17"/>
  <c r="K358" i="17"/>
  <c r="I358" i="17"/>
  <c r="W357" i="17"/>
  <c r="U357" i="17"/>
  <c r="K357" i="17"/>
  <c r="I357" i="17"/>
  <c r="W356" i="17"/>
  <c r="U356" i="17"/>
  <c r="K356" i="17"/>
  <c r="I356" i="17"/>
  <c r="W355" i="17"/>
  <c r="W371" i="17" s="1"/>
  <c r="U355" i="17"/>
  <c r="K355" i="17"/>
  <c r="I355" i="17"/>
  <c r="V354" i="17"/>
  <c r="T354" i="17"/>
  <c r="S354" i="17"/>
  <c r="U354" i="17" s="1"/>
  <c r="Q354" i="17"/>
  <c r="K354" i="17"/>
  <c r="I354" i="17"/>
  <c r="W353" i="17"/>
  <c r="U353" i="17"/>
  <c r="R353" i="17"/>
  <c r="K353" i="17"/>
  <c r="I353" i="17"/>
  <c r="W352" i="17"/>
  <c r="U352" i="17"/>
  <c r="R352" i="17"/>
  <c r="K352" i="17"/>
  <c r="I352" i="17"/>
  <c r="U351" i="17"/>
  <c r="R351" i="17"/>
  <c r="W351" i="17" s="1"/>
  <c r="K351" i="17"/>
  <c r="I351" i="17"/>
  <c r="U350" i="17"/>
  <c r="R350" i="17"/>
  <c r="W350" i="17" s="1"/>
  <c r="K350" i="17"/>
  <c r="I350" i="17"/>
  <c r="W349" i="17"/>
  <c r="U349" i="17"/>
  <c r="R349" i="17"/>
  <c r="K349" i="17"/>
  <c r="I349" i="17"/>
  <c r="U348" i="17"/>
  <c r="R348" i="17"/>
  <c r="W348" i="17" s="1"/>
  <c r="K348" i="17"/>
  <c r="I348" i="17"/>
  <c r="W347" i="17"/>
  <c r="U347" i="17"/>
  <c r="R347" i="17"/>
  <c r="K347" i="17"/>
  <c r="I347" i="17"/>
  <c r="U346" i="17"/>
  <c r="R346" i="17"/>
  <c r="W346" i="17" s="1"/>
  <c r="K346" i="17"/>
  <c r="I346" i="17"/>
  <c r="W345" i="17"/>
  <c r="U345" i="17"/>
  <c r="R345" i="17"/>
  <c r="K345" i="17"/>
  <c r="I345" i="17"/>
  <c r="W344" i="17"/>
  <c r="U344" i="17"/>
  <c r="R344" i="17"/>
  <c r="K344" i="17"/>
  <c r="I344" i="17"/>
  <c r="U343" i="17"/>
  <c r="R343" i="17"/>
  <c r="W343" i="17" s="1"/>
  <c r="K343" i="17"/>
  <c r="I343" i="17"/>
  <c r="U342" i="17"/>
  <c r="R342" i="17"/>
  <c r="W342" i="17" s="1"/>
  <c r="K342" i="17"/>
  <c r="I342" i="17"/>
  <c r="W341" i="17"/>
  <c r="U341" i="17"/>
  <c r="R341" i="17"/>
  <c r="K341" i="17"/>
  <c r="I341" i="17"/>
  <c r="U340" i="17"/>
  <c r="R340" i="17"/>
  <c r="W340" i="17" s="1"/>
  <c r="K340" i="17"/>
  <c r="I340" i="17"/>
  <c r="W339" i="17"/>
  <c r="U339" i="17"/>
  <c r="R339" i="17"/>
  <c r="K339" i="17"/>
  <c r="I339" i="17"/>
  <c r="U338" i="17"/>
  <c r="R338" i="17"/>
  <c r="W338" i="17" s="1"/>
  <c r="K338" i="17"/>
  <c r="I338" i="17"/>
  <c r="W337" i="17"/>
  <c r="U337" i="17"/>
  <c r="R337" i="17"/>
  <c r="K337" i="17"/>
  <c r="I337" i="17"/>
  <c r="W336" i="17"/>
  <c r="U336" i="17"/>
  <c r="R336" i="17"/>
  <c r="K336" i="17"/>
  <c r="K363" i="17" s="1"/>
  <c r="I336" i="17"/>
  <c r="U335" i="17"/>
  <c r="R335" i="17"/>
  <c r="W335" i="17" s="1"/>
  <c r="J335" i="17"/>
  <c r="G335" i="17"/>
  <c r="F335" i="17"/>
  <c r="E335" i="17"/>
  <c r="W334" i="17"/>
  <c r="U334" i="17"/>
  <c r="R334" i="17"/>
  <c r="H334" i="17"/>
  <c r="K334" i="17" s="1"/>
  <c r="U333" i="17"/>
  <c r="R333" i="17"/>
  <c r="W333" i="17" s="1"/>
  <c r="I333" i="17"/>
  <c r="H333" i="17"/>
  <c r="K333" i="17" s="1"/>
  <c r="U332" i="17"/>
  <c r="R332" i="17"/>
  <c r="W332" i="17" s="1"/>
  <c r="K332" i="17"/>
  <c r="I332" i="17"/>
  <c r="H332" i="17"/>
  <c r="W331" i="17"/>
  <c r="U331" i="17"/>
  <c r="R331" i="17"/>
  <c r="H331" i="17"/>
  <c r="K331" i="17" s="1"/>
  <c r="V330" i="17"/>
  <c r="S330" i="17"/>
  <c r="R330" i="17"/>
  <c r="Q330" i="17"/>
  <c r="I330" i="17"/>
  <c r="H330" i="17"/>
  <c r="K330" i="17" s="1"/>
  <c r="W329" i="17"/>
  <c r="T329" i="17"/>
  <c r="U329" i="17" s="1"/>
  <c r="K329" i="17"/>
  <c r="I329" i="17"/>
  <c r="H329" i="17"/>
  <c r="W328" i="17"/>
  <c r="T328" i="17"/>
  <c r="U328" i="17" s="1"/>
  <c r="H328" i="17"/>
  <c r="K328" i="17" s="1"/>
  <c r="T327" i="17"/>
  <c r="K327" i="17"/>
  <c r="I327" i="17"/>
  <c r="H327" i="17"/>
  <c r="T326" i="17"/>
  <c r="W326" i="17" s="1"/>
  <c r="I326" i="17"/>
  <c r="H326" i="17"/>
  <c r="K326" i="17" s="1"/>
  <c r="W325" i="17"/>
  <c r="T325" i="17"/>
  <c r="U325" i="17" s="1"/>
  <c r="K325" i="17"/>
  <c r="I325" i="17"/>
  <c r="H325" i="17"/>
  <c r="W324" i="17"/>
  <c r="T324" i="17"/>
  <c r="U324" i="17" s="1"/>
  <c r="H324" i="17"/>
  <c r="K324" i="17" s="1"/>
  <c r="T323" i="17"/>
  <c r="K323" i="17"/>
  <c r="I323" i="17"/>
  <c r="H323" i="17"/>
  <c r="T322" i="17"/>
  <c r="W322" i="17" s="1"/>
  <c r="I322" i="17"/>
  <c r="H322" i="17"/>
  <c r="K322" i="17" s="1"/>
  <c r="W321" i="17"/>
  <c r="T321" i="17"/>
  <c r="U321" i="17" s="1"/>
  <c r="K321" i="17"/>
  <c r="I321" i="17"/>
  <c r="H321" i="17"/>
  <c r="W320" i="17"/>
  <c r="T320" i="17"/>
  <c r="U320" i="17" s="1"/>
  <c r="H320" i="17"/>
  <c r="K320" i="17" s="1"/>
  <c r="T319" i="17"/>
  <c r="K319" i="17"/>
  <c r="I319" i="17"/>
  <c r="H319" i="17"/>
  <c r="T318" i="17"/>
  <c r="W318" i="17" s="1"/>
  <c r="I318" i="17"/>
  <c r="H318" i="17"/>
  <c r="K318" i="17" s="1"/>
  <c r="W317" i="17"/>
  <c r="T317" i="17"/>
  <c r="U317" i="17" s="1"/>
  <c r="K317" i="17"/>
  <c r="I317" i="17"/>
  <c r="H317" i="17"/>
  <c r="W316" i="17"/>
  <c r="T316" i="17"/>
  <c r="U316" i="17" s="1"/>
  <c r="H316" i="17"/>
  <c r="K316" i="17" s="1"/>
  <c r="T315" i="17"/>
  <c r="K315" i="17"/>
  <c r="I315" i="17"/>
  <c r="H315" i="17"/>
  <c r="U314" i="17"/>
  <c r="T314" i="17"/>
  <c r="W314" i="17" s="1"/>
  <c r="I314" i="17"/>
  <c r="H314" i="17"/>
  <c r="K314" i="17" s="1"/>
  <c r="W313" i="17"/>
  <c r="T313" i="17"/>
  <c r="U313" i="17" s="1"/>
  <c r="K313" i="17"/>
  <c r="I313" i="17"/>
  <c r="H313" i="17"/>
  <c r="W312" i="17"/>
  <c r="T312" i="17"/>
  <c r="U312" i="17" s="1"/>
  <c r="H312" i="17"/>
  <c r="K312" i="17" s="1"/>
  <c r="T311" i="17"/>
  <c r="K311" i="17"/>
  <c r="I311" i="17"/>
  <c r="H311" i="17"/>
  <c r="U310" i="17"/>
  <c r="T310" i="17"/>
  <c r="W310" i="17" s="1"/>
  <c r="I310" i="17"/>
  <c r="H310" i="17"/>
  <c r="K310" i="17" s="1"/>
  <c r="W309" i="17"/>
  <c r="T309" i="17"/>
  <c r="U309" i="17" s="1"/>
  <c r="K309" i="17"/>
  <c r="I309" i="17"/>
  <c r="H309" i="17"/>
  <c r="W308" i="17"/>
  <c r="T308" i="17"/>
  <c r="U308" i="17" s="1"/>
  <c r="H308" i="17"/>
  <c r="K308" i="17" s="1"/>
  <c r="T307" i="17"/>
  <c r="J307" i="17"/>
  <c r="H307" i="17"/>
  <c r="G307" i="17"/>
  <c r="I307" i="17" s="1"/>
  <c r="E307" i="17"/>
  <c r="V306" i="17"/>
  <c r="S306" i="17"/>
  <c r="R306" i="17"/>
  <c r="Q306" i="17"/>
  <c r="I306" i="17"/>
  <c r="F306" i="17"/>
  <c r="K306" i="17" s="1"/>
  <c r="W305" i="17"/>
  <c r="T305" i="17"/>
  <c r="U305" i="17" s="1"/>
  <c r="K305" i="17"/>
  <c r="I305" i="17"/>
  <c r="F305" i="17"/>
  <c r="W304" i="17"/>
  <c r="T304" i="17"/>
  <c r="U304" i="17" s="1"/>
  <c r="I304" i="17"/>
  <c r="F304" i="17"/>
  <c r="K304" i="17" s="1"/>
  <c r="T303" i="17"/>
  <c r="K303" i="17"/>
  <c r="I303" i="17"/>
  <c r="F303" i="17"/>
  <c r="W302" i="17"/>
  <c r="U302" i="17"/>
  <c r="T302" i="17"/>
  <c r="I302" i="17"/>
  <c r="F302" i="17"/>
  <c r="K302" i="17" s="1"/>
  <c r="W301" i="17"/>
  <c r="T301" i="17"/>
  <c r="U301" i="17" s="1"/>
  <c r="K301" i="17"/>
  <c r="I301" i="17"/>
  <c r="F301" i="17"/>
  <c r="W300" i="17"/>
  <c r="T300" i="17"/>
  <c r="U300" i="17" s="1"/>
  <c r="I300" i="17"/>
  <c r="F300" i="17"/>
  <c r="K300" i="17" s="1"/>
  <c r="T299" i="17"/>
  <c r="K299" i="17"/>
  <c r="I299" i="17"/>
  <c r="F299" i="17"/>
  <c r="W298" i="17"/>
  <c r="U298" i="17"/>
  <c r="T298" i="17"/>
  <c r="I298" i="17"/>
  <c r="F298" i="17"/>
  <c r="K298" i="17" s="1"/>
  <c r="W297" i="17"/>
  <c r="T297" i="17"/>
  <c r="U297" i="17" s="1"/>
  <c r="K297" i="17"/>
  <c r="I297" i="17"/>
  <c r="F297" i="17"/>
  <c r="W296" i="17"/>
  <c r="T296" i="17"/>
  <c r="U296" i="17" s="1"/>
  <c r="I296" i="17"/>
  <c r="F296" i="17"/>
  <c r="K296" i="17" s="1"/>
  <c r="T295" i="17"/>
  <c r="J295" i="17"/>
  <c r="H295" i="17"/>
  <c r="G295" i="17"/>
  <c r="I295" i="17" s="1"/>
  <c r="F295" i="17"/>
  <c r="E295" i="17"/>
  <c r="W294" i="17"/>
  <c r="T294" i="17"/>
  <c r="U294" i="17" s="1"/>
  <c r="K294" i="17"/>
  <c r="I294" i="17"/>
  <c r="W293" i="17"/>
  <c r="T293" i="17"/>
  <c r="U293" i="17" s="1"/>
  <c r="K293" i="17"/>
  <c r="I293" i="17"/>
  <c r="W292" i="17"/>
  <c r="T292" i="17"/>
  <c r="U292" i="17" s="1"/>
  <c r="K292" i="17"/>
  <c r="I292" i="17"/>
  <c r="U291" i="17"/>
  <c r="T291" i="17"/>
  <c r="W291" i="17" s="1"/>
  <c r="K291" i="17"/>
  <c r="I291" i="17"/>
  <c r="W290" i="17"/>
  <c r="U290" i="17"/>
  <c r="T290" i="17"/>
  <c r="K290" i="17"/>
  <c r="I290" i="17"/>
  <c r="W289" i="17"/>
  <c r="U289" i="17"/>
  <c r="T289" i="17"/>
  <c r="K289" i="17"/>
  <c r="I289" i="17"/>
  <c r="V288" i="17"/>
  <c r="U288" i="17"/>
  <c r="T288" i="17"/>
  <c r="S288" i="17"/>
  <c r="Q288" i="17"/>
  <c r="K288" i="17"/>
  <c r="I288" i="17"/>
  <c r="U287" i="17"/>
  <c r="R287" i="17"/>
  <c r="W287" i="17" s="1"/>
  <c r="K287" i="17"/>
  <c r="I287" i="17"/>
  <c r="W286" i="17"/>
  <c r="U286" i="17"/>
  <c r="R286" i="17"/>
  <c r="K286" i="17"/>
  <c r="I286" i="17"/>
  <c r="W285" i="17"/>
  <c r="U285" i="17"/>
  <c r="R285" i="17"/>
  <c r="K285" i="17"/>
  <c r="I285" i="17"/>
  <c r="U284" i="17"/>
  <c r="R284" i="17"/>
  <c r="W284" i="17" s="1"/>
  <c r="K284" i="17"/>
  <c r="I284" i="17"/>
  <c r="U283" i="17"/>
  <c r="R283" i="17"/>
  <c r="W283" i="17" s="1"/>
  <c r="K283" i="17"/>
  <c r="I283" i="17"/>
  <c r="W282" i="17"/>
  <c r="U282" i="17"/>
  <c r="R282" i="17"/>
  <c r="K282" i="17"/>
  <c r="I282" i="17"/>
  <c r="U281" i="17"/>
  <c r="R281" i="17"/>
  <c r="W281" i="17" s="1"/>
  <c r="K281" i="17"/>
  <c r="I281" i="17"/>
  <c r="W280" i="17"/>
  <c r="U280" i="17"/>
  <c r="R280" i="17"/>
  <c r="K280" i="17"/>
  <c r="I280" i="17"/>
  <c r="U279" i="17"/>
  <c r="R279" i="17"/>
  <c r="W279" i="17" s="1"/>
  <c r="K279" i="17"/>
  <c r="I279" i="17"/>
  <c r="W278" i="17"/>
  <c r="U278" i="17"/>
  <c r="R278" i="17"/>
  <c r="K278" i="17"/>
  <c r="K295" i="17" s="1"/>
  <c r="I278" i="17"/>
  <c r="W277" i="17"/>
  <c r="U277" i="17"/>
  <c r="R277" i="17"/>
  <c r="J277" i="17"/>
  <c r="H277" i="17"/>
  <c r="G277" i="17"/>
  <c r="I277" i="17" s="1"/>
  <c r="F277" i="17"/>
  <c r="E277" i="17"/>
  <c r="U276" i="17"/>
  <c r="R276" i="17"/>
  <c r="W276" i="17" s="1"/>
  <c r="K276" i="17"/>
  <c r="I276" i="17"/>
  <c r="W275" i="17"/>
  <c r="U275" i="17"/>
  <c r="R275" i="17"/>
  <c r="K275" i="17"/>
  <c r="I275" i="17"/>
  <c r="U274" i="17"/>
  <c r="R274" i="17"/>
  <c r="W274" i="17" s="1"/>
  <c r="K274" i="17"/>
  <c r="I274" i="17"/>
  <c r="W273" i="17"/>
  <c r="U273" i="17"/>
  <c r="R273" i="17"/>
  <c r="K273" i="17"/>
  <c r="I273" i="17"/>
  <c r="U272" i="17"/>
  <c r="R272" i="17"/>
  <c r="W272" i="17" s="1"/>
  <c r="K272" i="17"/>
  <c r="I272" i="17"/>
  <c r="W271" i="17"/>
  <c r="U271" i="17"/>
  <c r="R271" i="17"/>
  <c r="K271" i="17"/>
  <c r="I271" i="17"/>
  <c r="W270" i="17"/>
  <c r="U270" i="17"/>
  <c r="R270" i="17"/>
  <c r="K270" i="17"/>
  <c r="I270" i="17"/>
  <c r="U269" i="17"/>
  <c r="R269" i="17"/>
  <c r="W269" i="17" s="1"/>
  <c r="K269" i="17"/>
  <c r="I269" i="17"/>
  <c r="U268" i="17"/>
  <c r="R268" i="17"/>
  <c r="W268" i="17" s="1"/>
  <c r="K268" i="17"/>
  <c r="I268" i="17"/>
  <c r="W267" i="17"/>
  <c r="U267" i="17"/>
  <c r="R267" i="17"/>
  <c r="K267" i="17"/>
  <c r="I267" i="17"/>
  <c r="U266" i="17"/>
  <c r="R266" i="17"/>
  <c r="W266" i="17" s="1"/>
  <c r="K266" i="17"/>
  <c r="I266" i="17"/>
  <c r="W265" i="17"/>
  <c r="U265" i="17"/>
  <c r="R265" i="17"/>
  <c r="K265" i="17"/>
  <c r="I265" i="17"/>
  <c r="U264" i="17"/>
  <c r="R264" i="17"/>
  <c r="W264" i="17" s="1"/>
  <c r="K264" i="17"/>
  <c r="I264" i="17"/>
  <c r="W263" i="17"/>
  <c r="U263" i="17"/>
  <c r="R263" i="17"/>
  <c r="K263" i="17"/>
  <c r="I263" i="17"/>
  <c r="W262" i="17"/>
  <c r="U262" i="17"/>
  <c r="R262" i="17"/>
  <c r="K262" i="17"/>
  <c r="I262" i="17"/>
  <c r="U261" i="17"/>
  <c r="R261" i="17"/>
  <c r="W261" i="17" s="1"/>
  <c r="K261" i="17"/>
  <c r="K277" i="17" s="1"/>
  <c r="I261" i="17"/>
  <c r="U260" i="17"/>
  <c r="R260" i="17"/>
  <c r="W260" i="17" s="1"/>
  <c r="J260" i="17"/>
  <c r="G260" i="17"/>
  <c r="F260" i="17"/>
  <c r="E260" i="17"/>
  <c r="U259" i="17"/>
  <c r="R259" i="17"/>
  <c r="W259" i="17" s="1"/>
  <c r="K259" i="17"/>
  <c r="H259" i="17"/>
  <c r="I259" i="17" s="1"/>
  <c r="W258" i="17"/>
  <c r="U258" i="17"/>
  <c r="R258" i="17"/>
  <c r="H258" i="17"/>
  <c r="U257" i="17"/>
  <c r="R257" i="17"/>
  <c r="W257" i="17" s="1"/>
  <c r="K257" i="17"/>
  <c r="H257" i="17"/>
  <c r="I257" i="17" s="1"/>
  <c r="W256" i="17"/>
  <c r="U256" i="17"/>
  <c r="R256" i="17"/>
  <c r="K256" i="17"/>
  <c r="H256" i="17"/>
  <c r="I256" i="17" s="1"/>
  <c r="U255" i="17"/>
  <c r="R255" i="17"/>
  <c r="K255" i="17"/>
  <c r="H255" i="17"/>
  <c r="I255" i="17" s="1"/>
  <c r="V254" i="17"/>
  <c r="T254" i="17"/>
  <c r="S254" i="17"/>
  <c r="U254" i="17" s="1"/>
  <c r="R254" i="17"/>
  <c r="Q254" i="17"/>
  <c r="K254" i="17"/>
  <c r="H254" i="17"/>
  <c r="I254" i="17" s="1"/>
  <c r="U253" i="17"/>
  <c r="R253" i="17"/>
  <c r="W253" i="17" s="1"/>
  <c r="K253" i="17"/>
  <c r="H253" i="17"/>
  <c r="I253" i="17" s="1"/>
  <c r="W252" i="17"/>
  <c r="U252" i="17"/>
  <c r="R252" i="17"/>
  <c r="H252" i="17"/>
  <c r="W251" i="17"/>
  <c r="U251" i="17"/>
  <c r="R251" i="17"/>
  <c r="K251" i="17"/>
  <c r="H251" i="17"/>
  <c r="I251" i="17" s="1"/>
  <c r="U250" i="17"/>
  <c r="R250" i="17"/>
  <c r="W250" i="17" s="1"/>
  <c r="K250" i="17"/>
  <c r="H250" i="17"/>
  <c r="I250" i="17" s="1"/>
  <c r="U249" i="17"/>
  <c r="R249" i="17"/>
  <c r="W249" i="17" s="1"/>
  <c r="K249" i="17"/>
  <c r="H249" i="17"/>
  <c r="I249" i="17" s="1"/>
  <c r="W248" i="17"/>
  <c r="U248" i="17"/>
  <c r="R248" i="17"/>
  <c r="H248" i="17"/>
  <c r="W247" i="17"/>
  <c r="U247" i="17"/>
  <c r="R247" i="17"/>
  <c r="K247" i="17"/>
  <c r="H247" i="17"/>
  <c r="I247" i="17" s="1"/>
  <c r="U246" i="17"/>
  <c r="R246" i="17"/>
  <c r="W246" i="17" s="1"/>
  <c r="K246" i="17"/>
  <c r="H246" i="17"/>
  <c r="I246" i="17" s="1"/>
  <c r="U245" i="17"/>
  <c r="R245" i="17"/>
  <c r="W245" i="17" s="1"/>
  <c r="K245" i="17"/>
  <c r="H245" i="17"/>
  <c r="I245" i="17" s="1"/>
  <c r="U244" i="17"/>
  <c r="R244" i="17"/>
  <c r="W244" i="17" s="1"/>
  <c r="H244" i="17"/>
  <c r="W243" i="17"/>
  <c r="U243" i="17"/>
  <c r="R243" i="17"/>
  <c r="K243" i="17"/>
  <c r="H243" i="17"/>
  <c r="I243" i="17" s="1"/>
  <c r="U242" i="17"/>
  <c r="R242" i="17"/>
  <c r="W242" i="17" s="1"/>
  <c r="K242" i="17"/>
  <c r="H242" i="17"/>
  <c r="U241" i="17"/>
  <c r="R241" i="17"/>
  <c r="W241" i="17" s="1"/>
  <c r="J241" i="17"/>
  <c r="I241" i="17"/>
  <c r="H241" i="17"/>
  <c r="G241" i="17"/>
  <c r="E241" i="17"/>
  <c r="U240" i="17"/>
  <c r="R240" i="17"/>
  <c r="W240" i="17" s="1"/>
  <c r="K240" i="17"/>
  <c r="I240" i="17"/>
  <c r="F240" i="17"/>
  <c r="W239" i="17"/>
  <c r="U239" i="17"/>
  <c r="R239" i="17"/>
  <c r="K239" i="17"/>
  <c r="I239" i="17"/>
  <c r="F239" i="17"/>
  <c r="W238" i="17"/>
  <c r="U238" i="17"/>
  <c r="R238" i="17"/>
  <c r="I238" i="17"/>
  <c r="F238" i="17"/>
  <c r="K238" i="17" s="1"/>
  <c r="U237" i="17"/>
  <c r="R237" i="17"/>
  <c r="W237" i="17" s="1"/>
  <c r="I237" i="17"/>
  <c r="F237" i="17"/>
  <c r="K237" i="17" s="1"/>
  <c r="U236" i="17"/>
  <c r="R236" i="17"/>
  <c r="W236" i="17" s="1"/>
  <c r="K236" i="17"/>
  <c r="I236" i="17"/>
  <c r="F236" i="17"/>
  <c r="W235" i="17"/>
  <c r="U235" i="17"/>
  <c r="R235" i="17"/>
  <c r="K235" i="17"/>
  <c r="I235" i="17"/>
  <c r="F235" i="17"/>
  <c r="W234" i="17"/>
  <c r="U234" i="17"/>
  <c r="R234" i="17"/>
  <c r="I234" i="17"/>
  <c r="F234" i="17"/>
  <c r="K234" i="17" s="1"/>
  <c r="U233" i="17"/>
  <c r="R233" i="17"/>
  <c r="W233" i="17" s="1"/>
  <c r="I233" i="17"/>
  <c r="F233" i="17"/>
  <c r="K233" i="17" s="1"/>
  <c r="U232" i="17"/>
  <c r="R232" i="17"/>
  <c r="W232" i="17" s="1"/>
  <c r="K232" i="17"/>
  <c r="I232" i="17"/>
  <c r="F232" i="17"/>
  <c r="W231" i="17"/>
  <c r="U231" i="17"/>
  <c r="R231" i="17"/>
  <c r="K231" i="17"/>
  <c r="I231" i="17"/>
  <c r="F231" i="17"/>
  <c r="U230" i="17"/>
  <c r="R230" i="17"/>
  <c r="W230" i="17" s="1"/>
  <c r="I230" i="17"/>
  <c r="F230" i="17"/>
  <c r="K230" i="17" s="1"/>
  <c r="U229" i="17"/>
  <c r="R229" i="17"/>
  <c r="W229" i="17" s="1"/>
  <c r="I229" i="17"/>
  <c r="F229" i="17"/>
  <c r="K229" i="17" s="1"/>
  <c r="K241" i="17" s="1"/>
  <c r="U228" i="17"/>
  <c r="R228" i="17"/>
  <c r="W228" i="17" s="1"/>
  <c r="K228" i="17"/>
  <c r="I228" i="17"/>
  <c r="F228" i="17"/>
  <c r="F241" i="17" s="1"/>
  <c r="W227" i="17"/>
  <c r="U227" i="17"/>
  <c r="R227" i="17"/>
  <c r="J227" i="17"/>
  <c r="G227" i="17"/>
  <c r="F227" i="17"/>
  <c r="E227" i="17"/>
  <c r="U226" i="17"/>
  <c r="R226" i="17"/>
  <c r="W226" i="17" s="1"/>
  <c r="K226" i="17"/>
  <c r="H226" i="17"/>
  <c r="I226" i="17" s="1"/>
  <c r="W225" i="17"/>
  <c r="U225" i="17"/>
  <c r="R225" i="17"/>
  <c r="K225" i="17"/>
  <c r="H225" i="17"/>
  <c r="I225" i="17" s="1"/>
  <c r="U224" i="17"/>
  <c r="R224" i="17"/>
  <c r="W224" i="17" s="1"/>
  <c r="H224" i="17"/>
  <c r="V223" i="17"/>
  <c r="S223" i="17"/>
  <c r="Q223" i="17"/>
  <c r="K223" i="17"/>
  <c r="H223" i="17"/>
  <c r="I223" i="17" s="1"/>
  <c r="T222" i="17"/>
  <c r="U222" i="17" s="1"/>
  <c r="R222" i="17"/>
  <c r="W222" i="17" s="1"/>
  <c r="I222" i="17"/>
  <c r="H222" i="17"/>
  <c r="K222" i="17" s="1"/>
  <c r="W221" i="17"/>
  <c r="T221" i="17"/>
  <c r="U221" i="17" s="1"/>
  <c r="R221" i="17"/>
  <c r="H221" i="17"/>
  <c r="U220" i="17"/>
  <c r="T220" i="17"/>
  <c r="R220" i="17"/>
  <c r="W220" i="17" s="1"/>
  <c r="K220" i="17"/>
  <c r="I220" i="17"/>
  <c r="H220" i="17"/>
  <c r="W219" i="17"/>
  <c r="T219" i="17"/>
  <c r="U219" i="17" s="1"/>
  <c r="R219" i="17"/>
  <c r="K219" i="17"/>
  <c r="I219" i="17"/>
  <c r="H219" i="17"/>
  <c r="U218" i="17"/>
  <c r="T218" i="17"/>
  <c r="R218" i="17"/>
  <c r="W218" i="17" s="1"/>
  <c r="H218" i="17"/>
  <c r="K218" i="17" s="1"/>
  <c r="T217" i="17"/>
  <c r="R217" i="17"/>
  <c r="K217" i="17"/>
  <c r="H217" i="17"/>
  <c r="I217" i="17" s="1"/>
  <c r="U216" i="17"/>
  <c r="T216" i="17"/>
  <c r="R216" i="17"/>
  <c r="W216" i="17" s="1"/>
  <c r="K216" i="17"/>
  <c r="I216" i="17"/>
  <c r="H216" i="17"/>
  <c r="W215" i="17"/>
  <c r="U215" i="17"/>
  <c r="T215" i="17"/>
  <c r="R215" i="17"/>
  <c r="K215" i="17"/>
  <c r="H215" i="17"/>
  <c r="I215" i="17" s="1"/>
  <c r="U214" i="17"/>
  <c r="T214" i="17"/>
  <c r="R214" i="17"/>
  <c r="W214" i="17" s="1"/>
  <c r="I214" i="17"/>
  <c r="H214" i="17"/>
  <c r="K214" i="17" s="1"/>
  <c r="W213" i="17"/>
  <c r="T213" i="17"/>
  <c r="U213" i="17" s="1"/>
  <c r="R213" i="17"/>
  <c r="H213" i="17"/>
  <c r="U212" i="17"/>
  <c r="T212" i="17"/>
  <c r="R212" i="17"/>
  <c r="W212" i="17" s="1"/>
  <c r="K212" i="17"/>
  <c r="I212" i="17"/>
  <c r="H212" i="17"/>
  <c r="W211" i="17"/>
  <c r="T211" i="17"/>
  <c r="U211" i="17" s="1"/>
  <c r="R211" i="17"/>
  <c r="K211" i="17"/>
  <c r="I211" i="17"/>
  <c r="H211" i="17"/>
  <c r="U210" i="17"/>
  <c r="T210" i="17"/>
  <c r="R210" i="17"/>
  <c r="W210" i="17" s="1"/>
  <c r="H210" i="17"/>
  <c r="K210" i="17" s="1"/>
  <c r="T209" i="17"/>
  <c r="U209" i="17" s="1"/>
  <c r="R209" i="17"/>
  <c r="W209" i="17" s="1"/>
  <c r="K209" i="17"/>
  <c r="H209" i="17"/>
  <c r="I209" i="17" s="1"/>
  <c r="T208" i="17"/>
  <c r="U208" i="17" s="1"/>
  <c r="R208" i="17"/>
  <c r="W208" i="17" s="1"/>
  <c r="I208" i="17"/>
  <c r="H208" i="17"/>
  <c r="K208" i="17" s="1"/>
  <c r="W207" i="17"/>
  <c r="U207" i="17"/>
  <c r="T207" i="17"/>
  <c r="R207" i="17"/>
  <c r="K207" i="17"/>
  <c r="H207" i="17"/>
  <c r="I207" i="17" s="1"/>
  <c r="U206" i="17"/>
  <c r="T206" i="17"/>
  <c r="R206" i="17"/>
  <c r="W206" i="17" s="1"/>
  <c r="I206" i="17"/>
  <c r="H206" i="17"/>
  <c r="K206" i="17" s="1"/>
  <c r="W205" i="17"/>
  <c r="T205" i="17"/>
  <c r="U205" i="17" s="1"/>
  <c r="R205" i="17"/>
  <c r="R223" i="17" s="1"/>
  <c r="H205" i="17"/>
  <c r="V204" i="17"/>
  <c r="T204" i="17"/>
  <c r="S204" i="17"/>
  <c r="U204" i="17" s="1"/>
  <c r="Q204" i="17"/>
  <c r="K204" i="17"/>
  <c r="H204" i="17"/>
  <c r="I204" i="17" s="1"/>
  <c r="U203" i="17"/>
  <c r="R203" i="17"/>
  <c r="W203" i="17" s="1"/>
  <c r="H203" i="17"/>
  <c r="U202" i="17"/>
  <c r="R202" i="17"/>
  <c r="W202" i="17" s="1"/>
  <c r="K202" i="17"/>
  <c r="I202" i="17"/>
  <c r="H202" i="17"/>
  <c r="W201" i="17"/>
  <c r="U201" i="17"/>
  <c r="R201" i="17"/>
  <c r="J201" i="17"/>
  <c r="G201" i="17"/>
  <c r="E201" i="17"/>
  <c r="U200" i="17"/>
  <c r="R200" i="17"/>
  <c r="W200" i="17" s="1"/>
  <c r="H200" i="17"/>
  <c r="K200" i="17" s="1"/>
  <c r="F200" i="17"/>
  <c r="W199" i="17"/>
  <c r="U199" i="17"/>
  <c r="R199" i="17"/>
  <c r="I199" i="17"/>
  <c r="H199" i="17"/>
  <c r="F199" i="17"/>
  <c r="K199" i="17" s="1"/>
  <c r="W198" i="17"/>
  <c r="U198" i="17"/>
  <c r="R198" i="17"/>
  <c r="K198" i="17"/>
  <c r="H198" i="17"/>
  <c r="I198" i="17" s="1"/>
  <c r="F198" i="17"/>
  <c r="U197" i="17"/>
  <c r="R197" i="17"/>
  <c r="W197" i="17" s="1"/>
  <c r="I197" i="17"/>
  <c r="H197" i="17"/>
  <c r="F197" i="17"/>
  <c r="K197" i="17" s="1"/>
  <c r="U196" i="17"/>
  <c r="R196" i="17"/>
  <c r="W196" i="17" s="1"/>
  <c r="K196" i="17"/>
  <c r="H196" i="17"/>
  <c r="I196" i="17" s="1"/>
  <c r="F196" i="17"/>
  <c r="U195" i="17"/>
  <c r="R195" i="17"/>
  <c r="W195" i="17" s="1"/>
  <c r="I195" i="17"/>
  <c r="H195" i="17"/>
  <c r="F195" i="17"/>
  <c r="K195" i="17" s="1"/>
  <c r="W194" i="17"/>
  <c r="U194" i="17"/>
  <c r="R194" i="17"/>
  <c r="H194" i="17"/>
  <c r="F194" i="17"/>
  <c r="W193" i="17"/>
  <c r="U193" i="17"/>
  <c r="R193" i="17"/>
  <c r="I193" i="17"/>
  <c r="H193" i="17"/>
  <c r="F193" i="17"/>
  <c r="K193" i="17" s="1"/>
  <c r="U192" i="17"/>
  <c r="R192" i="17"/>
  <c r="W192" i="17" s="1"/>
  <c r="H192" i="17"/>
  <c r="K192" i="17" s="1"/>
  <c r="F192" i="17"/>
  <c r="W191" i="17"/>
  <c r="U191" i="17"/>
  <c r="R191" i="17"/>
  <c r="H191" i="17"/>
  <c r="I191" i="17" s="1"/>
  <c r="F191" i="17"/>
  <c r="K191" i="17" s="1"/>
  <c r="U190" i="17"/>
  <c r="R190" i="17"/>
  <c r="W190" i="17" s="1"/>
  <c r="K190" i="17"/>
  <c r="H190" i="17"/>
  <c r="I190" i="17" s="1"/>
  <c r="F190" i="17"/>
  <c r="U189" i="17"/>
  <c r="R189" i="17"/>
  <c r="W189" i="17" s="1"/>
  <c r="I189" i="17"/>
  <c r="H189" i="17"/>
  <c r="F189" i="17"/>
  <c r="K189" i="17" s="1"/>
  <c r="U188" i="17"/>
  <c r="R188" i="17"/>
  <c r="W188" i="17" s="1"/>
  <c r="K188" i="17"/>
  <c r="H188" i="17"/>
  <c r="I188" i="17" s="1"/>
  <c r="F188" i="17"/>
  <c r="U187" i="17"/>
  <c r="R187" i="17"/>
  <c r="W187" i="17" s="1"/>
  <c r="I187" i="17"/>
  <c r="H187" i="17"/>
  <c r="F187" i="17"/>
  <c r="K187" i="17" s="1"/>
  <c r="U186" i="17"/>
  <c r="R186" i="17"/>
  <c r="W186" i="17" s="1"/>
  <c r="H186" i="17"/>
  <c r="F186" i="17"/>
  <c r="W185" i="17"/>
  <c r="U185" i="17"/>
  <c r="R185" i="17"/>
  <c r="I185" i="17"/>
  <c r="H185" i="17"/>
  <c r="F185" i="17"/>
  <c r="K185" i="17" s="1"/>
  <c r="U184" i="17"/>
  <c r="R184" i="17"/>
  <c r="W184" i="17" s="1"/>
  <c r="H184" i="17"/>
  <c r="I184" i="17" s="1"/>
  <c r="F184" i="17"/>
  <c r="K184" i="17" s="1"/>
  <c r="V183" i="17"/>
  <c r="S183" i="17"/>
  <c r="Q183" i="17"/>
  <c r="H183" i="17"/>
  <c r="F183" i="17"/>
  <c r="K183" i="17" s="1"/>
  <c r="W182" i="17"/>
  <c r="T182" i="17"/>
  <c r="U182" i="17" s="1"/>
  <c r="J182" i="17"/>
  <c r="H182" i="17"/>
  <c r="G182" i="17"/>
  <c r="F182" i="17"/>
  <c r="E182" i="17"/>
  <c r="W181" i="17"/>
  <c r="U181" i="17"/>
  <c r="T181" i="17"/>
  <c r="K181" i="17"/>
  <c r="I181" i="17"/>
  <c r="U180" i="17"/>
  <c r="T180" i="17"/>
  <c r="W180" i="17" s="1"/>
  <c r="K180" i="17"/>
  <c r="I180" i="17"/>
  <c r="T179" i="17"/>
  <c r="K179" i="17"/>
  <c r="I179" i="17"/>
  <c r="U178" i="17"/>
  <c r="T178" i="17"/>
  <c r="W178" i="17" s="1"/>
  <c r="K178" i="17"/>
  <c r="I178" i="17"/>
  <c r="W177" i="17"/>
  <c r="T177" i="17"/>
  <c r="U177" i="17" s="1"/>
  <c r="K177" i="17"/>
  <c r="I177" i="17"/>
  <c r="W176" i="17"/>
  <c r="U176" i="17"/>
  <c r="T176" i="17"/>
  <c r="K176" i="17"/>
  <c r="I176" i="17"/>
  <c r="W175" i="17"/>
  <c r="T175" i="17"/>
  <c r="U175" i="17" s="1"/>
  <c r="K175" i="17"/>
  <c r="I175" i="17"/>
  <c r="U174" i="17"/>
  <c r="T174" i="17"/>
  <c r="W174" i="17" s="1"/>
  <c r="K174" i="17"/>
  <c r="I174" i="17"/>
  <c r="W173" i="17"/>
  <c r="U173" i="17"/>
  <c r="T173" i="17"/>
  <c r="K173" i="17"/>
  <c r="I173" i="17"/>
  <c r="U172" i="17"/>
  <c r="T172" i="17"/>
  <c r="W172" i="17" s="1"/>
  <c r="K172" i="17"/>
  <c r="I172" i="17"/>
  <c r="T171" i="17"/>
  <c r="K171" i="17"/>
  <c r="I171" i="17"/>
  <c r="T170" i="17"/>
  <c r="W170" i="17" s="1"/>
  <c r="K170" i="17"/>
  <c r="I170" i="17"/>
  <c r="W169" i="17"/>
  <c r="T169" i="17"/>
  <c r="U169" i="17" s="1"/>
  <c r="K169" i="17"/>
  <c r="I169" i="17"/>
  <c r="W168" i="17"/>
  <c r="U168" i="17"/>
  <c r="T168" i="17"/>
  <c r="K168" i="17"/>
  <c r="I168" i="17"/>
  <c r="W167" i="17"/>
  <c r="T167" i="17"/>
  <c r="U167" i="17" s="1"/>
  <c r="K167" i="17"/>
  <c r="I167" i="17"/>
  <c r="U166" i="17"/>
  <c r="T166" i="17"/>
  <c r="W166" i="17" s="1"/>
  <c r="K166" i="17"/>
  <c r="I166" i="17"/>
  <c r="W165" i="17"/>
  <c r="U165" i="17"/>
  <c r="T165" i="17"/>
  <c r="K165" i="17"/>
  <c r="I165" i="17"/>
  <c r="U164" i="17"/>
  <c r="T164" i="17"/>
  <c r="W164" i="17" s="1"/>
  <c r="K164" i="17"/>
  <c r="I164" i="17"/>
  <c r="T163" i="17"/>
  <c r="K163" i="17"/>
  <c r="I163" i="17"/>
  <c r="T162" i="17"/>
  <c r="W162" i="17" s="1"/>
  <c r="K162" i="17"/>
  <c r="I162" i="17"/>
  <c r="W161" i="17"/>
  <c r="T161" i="17"/>
  <c r="U161" i="17" s="1"/>
  <c r="K161" i="17"/>
  <c r="I161" i="17"/>
  <c r="W160" i="17"/>
  <c r="U160" i="17"/>
  <c r="T160" i="17"/>
  <c r="K160" i="17"/>
  <c r="I160" i="17"/>
  <c r="W159" i="17"/>
  <c r="T159" i="17"/>
  <c r="U159" i="17" s="1"/>
  <c r="K159" i="17"/>
  <c r="I159" i="17"/>
  <c r="U158" i="17"/>
  <c r="T158" i="17"/>
  <c r="K158" i="17"/>
  <c r="I158" i="17"/>
  <c r="V157" i="17"/>
  <c r="T157" i="17"/>
  <c r="S157" i="17"/>
  <c r="U157" i="17" s="1"/>
  <c r="Q157" i="17"/>
  <c r="K157" i="17"/>
  <c r="I157" i="17"/>
  <c r="U156" i="17"/>
  <c r="R156" i="17"/>
  <c r="W156" i="17" s="1"/>
  <c r="K156" i="17"/>
  <c r="I156" i="17"/>
  <c r="W155" i="17"/>
  <c r="U155" i="17"/>
  <c r="R155" i="17"/>
  <c r="K155" i="17"/>
  <c r="I155" i="17"/>
  <c r="U154" i="17"/>
  <c r="R154" i="17"/>
  <c r="W154" i="17" s="1"/>
  <c r="J154" i="17"/>
  <c r="G154" i="17"/>
  <c r="E154" i="17"/>
  <c r="U153" i="17"/>
  <c r="R153" i="17"/>
  <c r="W153" i="17" s="1"/>
  <c r="H153" i="17"/>
  <c r="I153" i="17" s="1"/>
  <c r="F153" i="17"/>
  <c r="K153" i="17" s="1"/>
  <c r="W152" i="17"/>
  <c r="U152" i="17"/>
  <c r="R152" i="17"/>
  <c r="H152" i="17"/>
  <c r="I152" i="17" s="1"/>
  <c r="F152" i="17"/>
  <c r="K152" i="17" s="1"/>
  <c r="W151" i="17"/>
  <c r="U151" i="17"/>
  <c r="R151" i="17"/>
  <c r="K151" i="17"/>
  <c r="I151" i="17"/>
  <c r="H151" i="17"/>
  <c r="F151" i="17"/>
  <c r="U150" i="17"/>
  <c r="R150" i="17"/>
  <c r="W150" i="17" s="1"/>
  <c r="I150" i="17"/>
  <c r="H150" i="17"/>
  <c r="F150" i="17"/>
  <c r="K150" i="17" s="1"/>
  <c r="U149" i="17"/>
  <c r="R149" i="17"/>
  <c r="W149" i="17" s="1"/>
  <c r="K149" i="17"/>
  <c r="H149" i="17"/>
  <c r="I149" i="17" s="1"/>
  <c r="F149" i="17"/>
  <c r="U148" i="17"/>
  <c r="R148" i="17"/>
  <c r="W148" i="17" s="1"/>
  <c r="I148" i="17"/>
  <c r="H148" i="17"/>
  <c r="F148" i="17"/>
  <c r="K148" i="17" s="1"/>
  <c r="W147" i="17"/>
  <c r="U147" i="17"/>
  <c r="R147" i="17"/>
  <c r="H147" i="17"/>
  <c r="F147" i="17"/>
  <c r="W146" i="17"/>
  <c r="U146" i="17"/>
  <c r="R146" i="17"/>
  <c r="I146" i="17"/>
  <c r="H146" i="17"/>
  <c r="F146" i="17"/>
  <c r="K146" i="17" s="1"/>
  <c r="U145" i="17"/>
  <c r="R145" i="17"/>
  <c r="W145" i="17" s="1"/>
  <c r="H145" i="17"/>
  <c r="I145" i="17" s="1"/>
  <c r="F145" i="17"/>
  <c r="K145" i="17" s="1"/>
  <c r="W144" i="17"/>
  <c r="U144" i="17"/>
  <c r="R144" i="17"/>
  <c r="K144" i="17"/>
  <c r="H144" i="17"/>
  <c r="I144" i="17" s="1"/>
  <c r="F144" i="17"/>
  <c r="V143" i="17"/>
  <c r="T143" i="17"/>
  <c r="S143" i="17"/>
  <c r="R143" i="17"/>
  <c r="R157" i="17" s="1"/>
  <c r="Q143" i="17"/>
  <c r="H143" i="17"/>
  <c r="I143" i="17" s="1"/>
  <c r="F143" i="17"/>
  <c r="W142" i="17"/>
  <c r="U142" i="17"/>
  <c r="K142" i="17"/>
  <c r="I142" i="17"/>
  <c r="H142" i="17"/>
  <c r="F142" i="17"/>
  <c r="W141" i="17"/>
  <c r="U141" i="17"/>
  <c r="K141" i="17"/>
  <c r="H141" i="17"/>
  <c r="I141" i="17" s="1"/>
  <c r="F141" i="17"/>
  <c r="W140" i="17"/>
  <c r="U140" i="17"/>
  <c r="K140" i="17"/>
  <c r="H140" i="17"/>
  <c r="I140" i="17" s="1"/>
  <c r="F140" i="17"/>
  <c r="W139" i="17"/>
  <c r="U139" i="17"/>
  <c r="H139" i="17"/>
  <c r="I139" i="17" s="1"/>
  <c r="F139" i="17"/>
  <c r="W138" i="17"/>
  <c r="U138" i="17"/>
  <c r="K138" i="17"/>
  <c r="I138" i="17"/>
  <c r="H138" i="17"/>
  <c r="F138" i="17"/>
  <c r="W137" i="17"/>
  <c r="U137" i="17"/>
  <c r="K137" i="17"/>
  <c r="H137" i="17"/>
  <c r="I137" i="17" s="1"/>
  <c r="F137" i="17"/>
  <c r="W136" i="17"/>
  <c r="U136" i="17"/>
  <c r="H136" i="17"/>
  <c r="I136" i="17" s="1"/>
  <c r="F136" i="17"/>
  <c r="W135" i="17"/>
  <c r="U135" i="17"/>
  <c r="H135" i="17"/>
  <c r="F135" i="17"/>
  <c r="W134" i="17"/>
  <c r="U134" i="17"/>
  <c r="K134" i="17"/>
  <c r="H134" i="17"/>
  <c r="I134" i="17" s="1"/>
  <c r="F134" i="17"/>
  <c r="W133" i="17"/>
  <c r="U133" i="17"/>
  <c r="H133" i="17"/>
  <c r="I133" i="17" s="1"/>
  <c r="F133" i="17"/>
  <c r="W132" i="17"/>
  <c r="U132" i="17"/>
  <c r="H132" i="17"/>
  <c r="I132" i="17" s="1"/>
  <c r="F132" i="17"/>
  <c r="W131" i="17"/>
  <c r="U131" i="17"/>
  <c r="H131" i="17"/>
  <c r="F131" i="17"/>
  <c r="W130" i="17"/>
  <c r="U130" i="17"/>
  <c r="J130" i="17"/>
  <c r="G130" i="17"/>
  <c r="F130" i="17"/>
  <c r="E130" i="17"/>
  <c r="W129" i="17"/>
  <c r="U129" i="17"/>
  <c r="H129" i="17"/>
  <c r="K129" i="17" s="1"/>
  <c r="W128" i="17"/>
  <c r="U128" i="17"/>
  <c r="H128" i="17"/>
  <c r="K128" i="17" s="1"/>
  <c r="W127" i="17"/>
  <c r="U127" i="17"/>
  <c r="K127" i="17"/>
  <c r="I127" i="17"/>
  <c r="H127" i="17"/>
  <c r="W126" i="17"/>
  <c r="U126" i="17"/>
  <c r="K126" i="17"/>
  <c r="H126" i="17"/>
  <c r="I126" i="17" s="1"/>
  <c r="W125" i="17"/>
  <c r="U125" i="17"/>
  <c r="I125" i="17"/>
  <c r="H125" i="17"/>
  <c r="K125" i="17" s="1"/>
  <c r="W124" i="17"/>
  <c r="U124" i="17"/>
  <c r="H124" i="17"/>
  <c r="I124" i="17" s="1"/>
  <c r="W123" i="17"/>
  <c r="U123" i="17"/>
  <c r="K123" i="17"/>
  <c r="I123" i="17"/>
  <c r="H123" i="17"/>
  <c r="V122" i="17"/>
  <c r="S122" i="17"/>
  <c r="R122" i="17"/>
  <c r="Q122" i="17"/>
  <c r="H122" i="17"/>
  <c r="K122" i="17" s="1"/>
  <c r="W121" i="17"/>
  <c r="T121" i="17"/>
  <c r="U121" i="17" s="1"/>
  <c r="J121" i="17"/>
  <c r="H121" i="17"/>
  <c r="G121" i="17"/>
  <c r="I121" i="17" s="1"/>
  <c r="F121" i="17"/>
  <c r="E121" i="17"/>
  <c r="T120" i="17"/>
  <c r="W120" i="17" s="1"/>
  <c r="K120" i="17"/>
  <c r="I120" i="17"/>
  <c r="W119" i="17"/>
  <c r="U119" i="17"/>
  <c r="T119" i="17"/>
  <c r="K119" i="17"/>
  <c r="I119" i="17"/>
  <c r="W118" i="17"/>
  <c r="T118" i="17"/>
  <c r="U118" i="17" s="1"/>
  <c r="K118" i="17"/>
  <c r="I118" i="17"/>
  <c r="T117" i="17"/>
  <c r="W117" i="17" s="1"/>
  <c r="K117" i="17"/>
  <c r="I117" i="17"/>
  <c r="T116" i="17"/>
  <c r="U116" i="17" s="1"/>
  <c r="K116" i="17"/>
  <c r="I116" i="17"/>
  <c r="W115" i="17"/>
  <c r="U115" i="17"/>
  <c r="T115" i="17"/>
  <c r="K115" i="17"/>
  <c r="I115" i="17"/>
  <c r="W114" i="17"/>
  <c r="T114" i="17"/>
  <c r="U114" i="17" s="1"/>
  <c r="K114" i="17"/>
  <c r="I114" i="17"/>
  <c r="T113" i="17"/>
  <c r="W113" i="17" s="1"/>
  <c r="K113" i="17"/>
  <c r="I113" i="17"/>
  <c r="T112" i="17"/>
  <c r="W112" i="17" s="1"/>
  <c r="K112" i="17"/>
  <c r="I112" i="17"/>
  <c r="W111" i="17"/>
  <c r="U111" i="17"/>
  <c r="T111" i="17"/>
  <c r="K111" i="17"/>
  <c r="I111" i="17"/>
  <c r="W110" i="17"/>
  <c r="T110" i="17"/>
  <c r="U110" i="17" s="1"/>
  <c r="K110" i="17"/>
  <c r="I110" i="17"/>
  <c r="T109" i="17"/>
  <c r="W109" i="17" s="1"/>
  <c r="K109" i="17"/>
  <c r="I109" i="17"/>
  <c r="T108" i="17"/>
  <c r="U108" i="17" s="1"/>
  <c r="K108" i="17"/>
  <c r="I108" i="17"/>
  <c r="W107" i="17"/>
  <c r="U107" i="17"/>
  <c r="T107" i="17"/>
  <c r="K107" i="17"/>
  <c r="I107" i="17"/>
  <c r="W106" i="17"/>
  <c r="T106" i="17"/>
  <c r="T122" i="17" s="1"/>
  <c r="K106" i="17"/>
  <c r="I106" i="17"/>
  <c r="V105" i="17"/>
  <c r="S105" i="17"/>
  <c r="Q105" i="17"/>
  <c r="K105" i="17"/>
  <c r="I105" i="17"/>
  <c r="T104" i="17"/>
  <c r="U104" i="17" s="1"/>
  <c r="R104" i="17"/>
  <c r="K104" i="17"/>
  <c r="I104" i="17"/>
  <c r="T103" i="17"/>
  <c r="U103" i="17" s="1"/>
  <c r="R103" i="17"/>
  <c r="W103" i="17" s="1"/>
  <c r="K103" i="17"/>
  <c r="I103" i="17"/>
  <c r="T102" i="17"/>
  <c r="W102" i="17" s="1"/>
  <c r="R102" i="17"/>
  <c r="K102" i="17"/>
  <c r="I102" i="17"/>
  <c r="W101" i="17"/>
  <c r="T101" i="17"/>
  <c r="U101" i="17" s="1"/>
  <c r="R101" i="17"/>
  <c r="K101" i="17"/>
  <c r="K121" i="17" s="1"/>
  <c r="I101" i="17"/>
  <c r="T100" i="17"/>
  <c r="U100" i="17" s="1"/>
  <c r="R100" i="17"/>
  <c r="J100" i="17"/>
  <c r="I100" i="17"/>
  <c r="H100" i="17"/>
  <c r="G100" i="17"/>
  <c r="F100" i="17"/>
  <c r="E100" i="17"/>
  <c r="T99" i="17"/>
  <c r="U99" i="17" s="1"/>
  <c r="R99" i="17"/>
  <c r="W99" i="17" s="1"/>
  <c r="K99" i="17"/>
  <c r="I99" i="17"/>
  <c r="W98" i="17"/>
  <c r="U98" i="17"/>
  <c r="T98" i="17"/>
  <c r="R98" i="17"/>
  <c r="K98" i="17"/>
  <c r="I98" i="17"/>
  <c r="T97" i="17"/>
  <c r="U97" i="17" s="1"/>
  <c r="R97" i="17"/>
  <c r="W97" i="17" s="1"/>
  <c r="K97" i="17"/>
  <c r="I97" i="17"/>
  <c r="W96" i="17"/>
  <c r="U96" i="17"/>
  <c r="T96" i="17"/>
  <c r="R96" i="17"/>
  <c r="K96" i="17"/>
  <c r="I96" i="17"/>
  <c r="T95" i="17"/>
  <c r="U95" i="17" s="1"/>
  <c r="R95" i="17"/>
  <c r="W95" i="17" s="1"/>
  <c r="K95" i="17"/>
  <c r="I95" i="17"/>
  <c r="W94" i="17"/>
  <c r="U94" i="17"/>
  <c r="T94" i="17"/>
  <c r="R94" i="17"/>
  <c r="K94" i="17"/>
  <c r="I94" i="17"/>
  <c r="T93" i="17"/>
  <c r="U93" i="17" s="1"/>
  <c r="R93" i="17"/>
  <c r="W93" i="17" s="1"/>
  <c r="K93" i="17"/>
  <c r="I93" i="17"/>
  <c r="W92" i="17"/>
  <c r="U92" i="17"/>
  <c r="T92" i="17"/>
  <c r="R92" i="17"/>
  <c r="K92" i="17"/>
  <c r="I92" i="17"/>
  <c r="T91" i="17"/>
  <c r="U91" i="17" s="1"/>
  <c r="R91" i="17"/>
  <c r="W91" i="17" s="1"/>
  <c r="K91" i="17"/>
  <c r="I91" i="17"/>
  <c r="W90" i="17"/>
  <c r="U90" i="17"/>
  <c r="T90" i="17"/>
  <c r="R90" i="17"/>
  <c r="K90" i="17"/>
  <c r="I90" i="17"/>
  <c r="T89" i="17"/>
  <c r="U89" i="17" s="1"/>
  <c r="R89" i="17"/>
  <c r="W89" i="17" s="1"/>
  <c r="K89" i="17"/>
  <c r="I89" i="17"/>
  <c r="W88" i="17"/>
  <c r="U88" i="17"/>
  <c r="T88" i="17"/>
  <c r="R88" i="17"/>
  <c r="K88" i="17"/>
  <c r="I88" i="17"/>
  <c r="T87" i="17"/>
  <c r="U87" i="17" s="1"/>
  <c r="R87" i="17"/>
  <c r="W87" i="17" s="1"/>
  <c r="K87" i="17"/>
  <c r="I87" i="17"/>
  <c r="W86" i="17"/>
  <c r="U86" i="17"/>
  <c r="T86" i="17"/>
  <c r="R86" i="17"/>
  <c r="K86" i="17"/>
  <c r="I86" i="17"/>
  <c r="T85" i="17"/>
  <c r="U85" i="17" s="1"/>
  <c r="R85" i="17"/>
  <c r="W85" i="17" s="1"/>
  <c r="K85" i="17"/>
  <c r="I85" i="17"/>
  <c r="W84" i="17"/>
  <c r="U84" i="17"/>
  <c r="T84" i="17"/>
  <c r="R84" i="17"/>
  <c r="R105" i="17" s="1"/>
  <c r="K84" i="17"/>
  <c r="I84" i="17"/>
  <c r="V83" i="17"/>
  <c r="S83" i="17"/>
  <c r="Q83" i="17"/>
  <c r="K83" i="17"/>
  <c r="I83" i="17"/>
  <c r="T82" i="17"/>
  <c r="W82" i="17" s="1"/>
  <c r="K82" i="17"/>
  <c r="I82" i="17"/>
  <c r="T81" i="17"/>
  <c r="U81" i="17" s="1"/>
  <c r="K81" i="17"/>
  <c r="I81" i="17"/>
  <c r="W80" i="17"/>
  <c r="U80" i="17"/>
  <c r="T80" i="17"/>
  <c r="K80" i="17"/>
  <c r="I80" i="17"/>
  <c r="W79" i="17"/>
  <c r="T79" i="17"/>
  <c r="U79" i="17" s="1"/>
  <c r="K79" i="17"/>
  <c r="K100" i="17" s="1"/>
  <c r="I79" i="17"/>
  <c r="T78" i="17"/>
  <c r="W78" i="17" s="1"/>
  <c r="J78" i="17"/>
  <c r="G78" i="17"/>
  <c r="F78" i="17"/>
  <c r="E78" i="17"/>
  <c r="W77" i="17"/>
  <c r="U77" i="17"/>
  <c r="T77" i="17"/>
  <c r="I77" i="17"/>
  <c r="H77" i="17"/>
  <c r="K77" i="17" s="1"/>
  <c r="T76" i="17"/>
  <c r="W76" i="17" s="1"/>
  <c r="K76" i="17"/>
  <c r="H76" i="17"/>
  <c r="I76" i="17" s="1"/>
  <c r="W75" i="17"/>
  <c r="U75" i="17"/>
  <c r="T75" i="17"/>
  <c r="H75" i="17"/>
  <c r="I75" i="17" s="1"/>
  <c r="T74" i="17"/>
  <c r="W74" i="17" s="1"/>
  <c r="K74" i="17"/>
  <c r="H74" i="17"/>
  <c r="I74" i="17" s="1"/>
  <c r="W73" i="17"/>
  <c r="U73" i="17"/>
  <c r="T73" i="17"/>
  <c r="I73" i="17"/>
  <c r="H73" i="17"/>
  <c r="K73" i="17" s="1"/>
  <c r="T72" i="17"/>
  <c r="W72" i="17" s="1"/>
  <c r="K72" i="17"/>
  <c r="H72" i="17"/>
  <c r="I72" i="17" s="1"/>
  <c r="W71" i="17"/>
  <c r="U71" i="17"/>
  <c r="T71" i="17"/>
  <c r="H71" i="17"/>
  <c r="I71" i="17" s="1"/>
  <c r="T70" i="17"/>
  <c r="W70" i="17" s="1"/>
  <c r="K70" i="17"/>
  <c r="H70" i="17"/>
  <c r="I70" i="17" s="1"/>
  <c r="W69" i="17"/>
  <c r="U69" i="17"/>
  <c r="T69" i="17"/>
  <c r="I69" i="17"/>
  <c r="H69" i="17"/>
  <c r="K69" i="17" s="1"/>
  <c r="T68" i="17"/>
  <c r="W68" i="17" s="1"/>
  <c r="K68" i="17"/>
  <c r="H68" i="17"/>
  <c r="I68" i="17" s="1"/>
  <c r="W67" i="17"/>
  <c r="U67" i="17"/>
  <c r="T67" i="17"/>
  <c r="H67" i="17"/>
  <c r="I67" i="17" s="1"/>
  <c r="T66" i="17"/>
  <c r="W66" i="17" s="1"/>
  <c r="K66" i="17"/>
  <c r="H66" i="17"/>
  <c r="I66" i="17" s="1"/>
  <c r="W65" i="17"/>
  <c r="U65" i="17"/>
  <c r="T65" i="17"/>
  <c r="I65" i="17"/>
  <c r="H65" i="17"/>
  <c r="K65" i="17" s="1"/>
  <c r="T64" i="17"/>
  <c r="W64" i="17" s="1"/>
  <c r="K64" i="17"/>
  <c r="H64" i="17"/>
  <c r="I64" i="17" s="1"/>
  <c r="W63" i="17"/>
  <c r="U63" i="17"/>
  <c r="T63" i="17"/>
  <c r="H63" i="17"/>
  <c r="I63" i="17" s="1"/>
  <c r="T62" i="17"/>
  <c r="W62" i="17" s="1"/>
  <c r="K62" i="17"/>
  <c r="H62" i="17"/>
  <c r="I62" i="17" s="1"/>
  <c r="V61" i="17"/>
  <c r="T61" i="17"/>
  <c r="S61" i="17"/>
  <c r="U61" i="17" s="1"/>
  <c r="R61" i="17"/>
  <c r="Q61" i="17"/>
  <c r="H61" i="17"/>
  <c r="I61" i="17" s="1"/>
  <c r="W60" i="17"/>
  <c r="U60" i="17"/>
  <c r="K60" i="17"/>
  <c r="I60" i="17"/>
  <c r="H60" i="17"/>
  <c r="W59" i="17"/>
  <c r="U59" i="17"/>
  <c r="K59" i="17"/>
  <c r="H59" i="17"/>
  <c r="I59" i="17" s="1"/>
  <c r="W58" i="17"/>
  <c r="U58" i="17"/>
  <c r="H58" i="17"/>
  <c r="K58" i="17" s="1"/>
  <c r="W57" i="17"/>
  <c r="U57" i="17"/>
  <c r="I57" i="17"/>
  <c r="H57" i="17"/>
  <c r="K57" i="17" s="1"/>
  <c r="W56" i="17"/>
  <c r="U56" i="17"/>
  <c r="K56" i="17"/>
  <c r="I56" i="17"/>
  <c r="H56" i="17"/>
  <c r="W55" i="17"/>
  <c r="U55" i="17"/>
  <c r="K55" i="17"/>
  <c r="H55" i="17"/>
  <c r="I55" i="17" s="1"/>
  <c r="W54" i="17"/>
  <c r="U54" i="17"/>
  <c r="H54" i="17"/>
  <c r="K54" i="17" s="1"/>
  <c r="W53" i="17"/>
  <c r="U53" i="17"/>
  <c r="H53" i="17"/>
  <c r="I53" i="17" s="1"/>
  <c r="W52" i="17"/>
  <c r="U52" i="17"/>
  <c r="K52" i="17"/>
  <c r="I52" i="17"/>
  <c r="H52" i="17"/>
  <c r="W51" i="17"/>
  <c r="U51" i="17"/>
  <c r="K51" i="17"/>
  <c r="H51" i="17"/>
  <c r="I51" i="17" s="1"/>
  <c r="W50" i="17"/>
  <c r="U50" i="17"/>
  <c r="H50" i="17"/>
  <c r="K50" i="17" s="1"/>
  <c r="W49" i="17"/>
  <c r="U49" i="17"/>
  <c r="I49" i="17"/>
  <c r="H49" i="17"/>
  <c r="K49" i="17" s="1"/>
  <c r="W48" i="17"/>
  <c r="U48" i="17"/>
  <c r="K48" i="17"/>
  <c r="I48" i="17"/>
  <c r="H48" i="17"/>
  <c r="W47" i="17"/>
  <c r="U47" i="17"/>
  <c r="K47" i="17"/>
  <c r="H47" i="17"/>
  <c r="H78" i="17" s="1"/>
  <c r="W46" i="17"/>
  <c r="U46" i="17"/>
  <c r="J46" i="17"/>
  <c r="I46" i="17"/>
  <c r="H46" i="17"/>
  <c r="G46" i="17"/>
  <c r="E46" i="17"/>
  <c r="W45" i="17"/>
  <c r="U45" i="17"/>
  <c r="I45" i="17"/>
  <c r="F45" i="17"/>
  <c r="K45" i="17" s="1"/>
  <c r="W44" i="17"/>
  <c r="U44" i="17"/>
  <c r="K44" i="17"/>
  <c r="I44" i="17"/>
  <c r="F44" i="17"/>
  <c r="W43" i="17"/>
  <c r="U43" i="17"/>
  <c r="K43" i="17"/>
  <c r="I43" i="17"/>
  <c r="F43" i="17"/>
  <c r="W42" i="17"/>
  <c r="U42" i="17"/>
  <c r="I42" i="17"/>
  <c r="F42" i="17"/>
  <c r="K42" i="17" s="1"/>
  <c r="W41" i="17"/>
  <c r="U41" i="17"/>
  <c r="I41" i="17"/>
  <c r="F41" i="17"/>
  <c r="K41" i="17" s="1"/>
  <c r="W40" i="17"/>
  <c r="U40" i="17"/>
  <c r="K40" i="17"/>
  <c r="I40" i="17"/>
  <c r="F40" i="17"/>
  <c r="W39" i="17"/>
  <c r="U39" i="17"/>
  <c r="K39" i="17"/>
  <c r="I39" i="17"/>
  <c r="F39" i="17"/>
  <c r="W38" i="17"/>
  <c r="U38" i="17"/>
  <c r="I38" i="17"/>
  <c r="F38" i="17"/>
  <c r="K38" i="17" s="1"/>
  <c r="W37" i="17"/>
  <c r="U37" i="17"/>
  <c r="I37" i="17"/>
  <c r="F37" i="17"/>
  <c r="K37" i="17" s="1"/>
  <c r="W36" i="17"/>
  <c r="U36" i="17"/>
  <c r="K36" i="17"/>
  <c r="I36" i="17"/>
  <c r="F36" i="17"/>
  <c r="W35" i="17"/>
  <c r="U35" i="17"/>
  <c r="K35" i="17"/>
  <c r="I35" i="17"/>
  <c r="F35" i="17"/>
  <c r="W34" i="17"/>
  <c r="U34" i="17"/>
  <c r="I34" i="17"/>
  <c r="F34" i="17"/>
  <c r="K34" i="17" s="1"/>
  <c r="W33" i="17"/>
  <c r="U33" i="17"/>
  <c r="I33" i="17"/>
  <c r="F33" i="17"/>
  <c r="K33" i="17" s="1"/>
  <c r="W32" i="17"/>
  <c r="U32" i="17"/>
  <c r="K32" i="17"/>
  <c r="I32" i="17"/>
  <c r="F32" i="17"/>
  <c r="W31" i="17"/>
  <c r="U31" i="17"/>
  <c r="K31" i="17"/>
  <c r="I31" i="17"/>
  <c r="F31" i="17"/>
  <c r="W30" i="17"/>
  <c r="U30" i="17"/>
  <c r="I30" i="17"/>
  <c r="F30" i="17"/>
  <c r="K30" i="17" s="1"/>
  <c r="W29" i="17"/>
  <c r="W61" i="17" s="1"/>
  <c r="U29" i="17"/>
  <c r="I29" i="17"/>
  <c r="F29" i="17"/>
  <c r="K29" i="17" s="1"/>
  <c r="W28" i="17"/>
  <c r="U28" i="17"/>
  <c r="K28" i="17"/>
  <c r="I28" i="17"/>
  <c r="F28" i="17"/>
  <c r="W27" i="17"/>
  <c r="U27" i="17"/>
  <c r="K27" i="17"/>
  <c r="I27" i="17"/>
  <c r="F27" i="17"/>
  <c r="W26" i="17"/>
  <c r="V26" i="17"/>
  <c r="U26" i="17"/>
  <c r="S26" i="17"/>
  <c r="R26" i="17"/>
  <c r="Q26" i="17"/>
  <c r="I26" i="17"/>
  <c r="F26" i="17"/>
  <c r="K26" i="17" s="1"/>
  <c r="W25" i="17"/>
  <c r="U25" i="17"/>
  <c r="R25" i="17"/>
  <c r="K25" i="17"/>
  <c r="K46" i="17" s="1"/>
  <c r="I25" i="17"/>
  <c r="F25" i="17"/>
  <c r="F46" i="17" s="1"/>
  <c r="U24" i="17"/>
  <c r="R24" i="17"/>
  <c r="W24" i="17" s="1"/>
  <c r="J24" i="17"/>
  <c r="G24" i="17"/>
  <c r="F24" i="17"/>
  <c r="E24" i="17"/>
  <c r="W23" i="17"/>
  <c r="U23" i="17"/>
  <c r="R23" i="17"/>
  <c r="K23" i="17"/>
  <c r="I23" i="17"/>
  <c r="H23" i="17"/>
  <c r="U22" i="17"/>
  <c r="R22" i="17"/>
  <c r="W22" i="17" s="1"/>
  <c r="H22" i="17"/>
  <c r="K22" i="17" s="1"/>
  <c r="W21" i="17"/>
  <c r="U21" i="17"/>
  <c r="R21" i="17"/>
  <c r="K21" i="17"/>
  <c r="I21" i="17"/>
  <c r="H21" i="17"/>
  <c r="U20" i="17"/>
  <c r="R20" i="17"/>
  <c r="W20" i="17" s="1"/>
  <c r="H20" i="17"/>
  <c r="K20" i="17" s="1"/>
  <c r="W19" i="17"/>
  <c r="U19" i="17"/>
  <c r="R19" i="17"/>
  <c r="K19" i="17"/>
  <c r="I19" i="17"/>
  <c r="H19" i="17"/>
  <c r="U18" i="17"/>
  <c r="R18" i="17"/>
  <c r="W18" i="17" s="1"/>
  <c r="H18" i="17"/>
  <c r="K18" i="17" s="1"/>
  <c r="W17" i="17"/>
  <c r="U17" i="17"/>
  <c r="R17" i="17"/>
  <c r="K17" i="17"/>
  <c r="I17" i="17"/>
  <c r="H17" i="17"/>
  <c r="U16" i="17"/>
  <c r="R16" i="17"/>
  <c r="W16" i="17" s="1"/>
  <c r="H16" i="17"/>
  <c r="K16" i="17" s="1"/>
  <c r="W15" i="17"/>
  <c r="U15" i="17"/>
  <c r="R15" i="17"/>
  <c r="K15" i="17"/>
  <c r="I15" i="17"/>
  <c r="H15" i="17"/>
  <c r="U14" i="17"/>
  <c r="R14" i="17"/>
  <c r="W14" i="17" s="1"/>
  <c r="H14" i="17"/>
  <c r="K14" i="17" s="1"/>
  <c r="W13" i="17"/>
  <c r="U13" i="17"/>
  <c r="R13" i="17"/>
  <c r="K13" i="17"/>
  <c r="I13" i="17"/>
  <c r="H13" i="17"/>
  <c r="U12" i="17"/>
  <c r="R12" i="17"/>
  <c r="W12" i="17" s="1"/>
  <c r="H12" i="17"/>
  <c r="K12" i="17" s="1"/>
  <c r="W11" i="17"/>
  <c r="U11" i="17"/>
  <c r="R11" i="17"/>
  <c r="K11" i="17"/>
  <c r="I11" i="17"/>
  <c r="H11" i="17"/>
  <c r="U10" i="17"/>
  <c r="R10" i="17"/>
  <c r="W10" i="17" s="1"/>
  <c r="H10" i="17"/>
  <c r="K10" i="17" s="1"/>
  <c r="W9" i="17"/>
  <c r="U9" i="17"/>
  <c r="R9" i="17"/>
  <c r="K9" i="17"/>
  <c r="I9" i="17"/>
  <c r="H9" i="17"/>
  <c r="U8" i="17"/>
  <c r="R8" i="17"/>
  <c r="W8" i="17" s="1"/>
  <c r="H8" i="17"/>
  <c r="H24" i="17" s="1"/>
  <c r="W7" i="17"/>
  <c r="U7" i="17"/>
  <c r="R7" i="17"/>
  <c r="K7" i="17"/>
  <c r="I7" i="17"/>
  <c r="H7" i="17"/>
  <c r="O46" i="12"/>
  <c r="N46" i="12"/>
  <c r="K46" i="12"/>
  <c r="H46" i="12"/>
  <c r="G46" i="12"/>
  <c r="E46" i="12"/>
  <c r="D46" i="12"/>
  <c r="P45" i="12"/>
  <c r="M45" i="12"/>
  <c r="I45" i="12"/>
  <c r="F45" i="12"/>
  <c r="J45" i="12" s="1"/>
  <c r="R45" i="12" s="1"/>
  <c r="P44" i="12"/>
  <c r="M44" i="12"/>
  <c r="J44" i="12"/>
  <c r="R44" i="12" s="1"/>
  <c r="I44" i="12"/>
  <c r="F44" i="12"/>
  <c r="Q44" i="12" s="1"/>
  <c r="Q43" i="12"/>
  <c r="P43" i="12"/>
  <c r="M43" i="12"/>
  <c r="I43" i="12"/>
  <c r="J43" i="12" s="1"/>
  <c r="R43" i="12" s="1"/>
  <c r="F43" i="12"/>
  <c r="P42" i="12"/>
  <c r="M42" i="12"/>
  <c r="I42" i="12"/>
  <c r="F42" i="12"/>
  <c r="Q42" i="12" s="1"/>
  <c r="P41" i="12"/>
  <c r="M41" i="12"/>
  <c r="L41" i="12"/>
  <c r="I41" i="12"/>
  <c r="F41" i="12"/>
  <c r="Q41" i="12" s="1"/>
  <c r="P40" i="12"/>
  <c r="M40" i="12"/>
  <c r="L40" i="12"/>
  <c r="I40" i="12"/>
  <c r="F40" i="12"/>
  <c r="Q40" i="12" s="1"/>
  <c r="P39" i="12"/>
  <c r="M39" i="12"/>
  <c r="I39" i="12"/>
  <c r="F39" i="12"/>
  <c r="Q39" i="12" s="1"/>
  <c r="R38" i="12"/>
  <c r="Q38" i="12"/>
  <c r="P38" i="12"/>
  <c r="M38" i="12"/>
  <c r="J38" i="12"/>
  <c r="I38" i="12"/>
  <c r="F38" i="12"/>
  <c r="Q37" i="12"/>
  <c r="P37" i="12"/>
  <c r="L37" i="12"/>
  <c r="M37" i="12" s="1"/>
  <c r="R37" i="12" s="1"/>
  <c r="J37" i="12"/>
  <c r="I37" i="12"/>
  <c r="F37" i="12"/>
  <c r="R36" i="12"/>
  <c r="Q36" i="12"/>
  <c r="P36" i="12"/>
  <c r="M36" i="12"/>
  <c r="J36" i="12"/>
  <c r="I36" i="12"/>
  <c r="F36" i="12"/>
  <c r="Q35" i="12"/>
  <c r="P35" i="12"/>
  <c r="M35" i="12"/>
  <c r="L35" i="12"/>
  <c r="J35" i="12"/>
  <c r="R35" i="12" s="1"/>
  <c r="I35" i="12"/>
  <c r="F35" i="12"/>
  <c r="Q34" i="12"/>
  <c r="P34" i="12"/>
  <c r="M34" i="12"/>
  <c r="I34" i="12"/>
  <c r="F34" i="12"/>
  <c r="J34" i="12" s="1"/>
  <c r="R34" i="12" s="1"/>
  <c r="P33" i="12"/>
  <c r="M33" i="12"/>
  <c r="I33" i="12"/>
  <c r="F33" i="12"/>
  <c r="J33" i="12" s="1"/>
  <c r="R33" i="12" s="1"/>
  <c r="P32" i="12"/>
  <c r="L32" i="12"/>
  <c r="M32" i="12" s="1"/>
  <c r="I32" i="12"/>
  <c r="F32" i="12"/>
  <c r="J32" i="12" s="1"/>
  <c r="P31" i="12"/>
  <c r="L31" i="12"/>
  <c r="M31" i="12" s="1"/>
  <c r="I31" i="12"/>
  <c r="F31" i="12"/>
  <c r="J31" i="12" s="1"/>
  <c r="P30" i="12"/>
  <c r="L30" i="12"/>
  <c r="M30" i="12" s="1"/>
  <c r="I30" i="12"/>
  <c r="F30" i="12"/>
  <c r="J30" i="12" s="1"/>
  <c r="P29" i="12"/>
  <c r="M29" i="12"/>
  <c r="J29" i="12"/>
  <c r="R29" i="12" s="1"/>
  <c r="I29" i="12"/>
  <c r="F29" i="12"/>
  <c r="Q29" i="12" s="1"/>
  <c r="Q28" i="12"/>
  <c r="P28" i="12"/>
  <c r="M28" i="12"/>
  <c r="I28" i="12"/>
  <c r="J28" i="12" s="1"/>
  <c r="R28" i="12" s="1"/>
  <c r="F28" i="12"/>
  <c r="P27" i="12"/>
  <c r="M27" i="12"/>
  <c r="I27" i="12"/>
  <c r="F27" i="12"/>
  <c r="Q27" i="12" s="1"/>
  <c r="P26" i="12"/>
  <c r="M26" i="12"/>
  <c r="I26" i="12"/>
  <c r="F26" i="12"/>
  <c r="Q26" i="12" s="1"/>
  <c r="P25" i="12"/>
  <c r="M25" i="12"/>
  <c r="L25" i="12"/>
  <c r="I25" i="12"/>
  <c r="F25" i="12"/>
  <c r="Q25" i="12" s="1"/>
  <c r="R24" i="12"/>
  <c r="Q24" i="12"/>
  <c r="P24" i="12"/>
  <c r="M24" i="12"/>
  <c r="J24" i="12"/>
  <c r="I24" i="12"/>
  <c r="F24" i="12"/>
  <c r="Q23" i="12"/>
  <c r="P23" i="12"/>
  <c r="M23" i="12"/>
  <c r="I23" i="12"/>
  <c r="J23" i="12" s="1"/>
  <c r="R23" i="12" s="1"/>
  <c r="F23" i="12"/>
  <c r="Q22" i="12"/>
  <c r="P22" i="12"/>
  <c r="P46" i="12" s="1"/>
  <c r="M22" i="12"/>
  <c r="I22" i="12"/>
  <c r="F22" i="12"/>
  <c r="J22" i="12" s="1"/>
  <c r="R22" i="12" s="1"/>
  <c r="P21" i="12"/>
  <c r="M21" i="12"/>
  <c r="L21" i="12"/>
  <c r="I21" i="12"/>
  <c r="F21" i="12"/>
  <c r="J21" i="12" s="1"/>
  <c r="R21" i="12" s="1"/>
  <c r="P20" i="12"/>
  <c r="M20" i="12"/>
  <c r="I20" i="12"/>
  <c r="F20" i="12"/>
  <c r="J20" i="12" s="1"/>
  <c r="R20" i="12" s="1"/>
  <c r="P19" i="12"/>
  <c r="L19" i="12"/>
  <c r="M19" i="12" s="1"/>
  <c r="I19" i="12"/>
  <c r="F19" i="12"/>
  <c r="J19" i="12" s="1"/>
  <c r="P18" i="12"/>
  <c r="L18" i="12"/>
  <c r="M18" i="12" s="1"/>
  <c r="I18" i="12"/>
  <c r="F18" i="12"/>
  <c r="J18" i="12" s="1"/>
  <c r="P17" i="12"/>
  <c r="M17" i="12"/>
  <c r="J17" i="12"/>
  <c r="R17" i="12" s="1"/>
  <c r="I17" i="12"/>
  <c r="F17" i="12"/>
  <c r="Q17" i="12" s="1"/>
  <c r="Q16" i="12"/>
  <c r="P16" i="12"/>
  <c r="L16" i="12"/>
  <c r="M16" i="12" s="1"/>
  <c r="J16" i="12"/>
  <c r="R16" i="12" s="1"/>
  <c r="I16" i="12"/>
  <c r="F16" i="12"/>
  <c r="Q15" i="12"/>
  <c r="P15" i="12"/>
  <c r="L15" i="12"/>
  <c r="M15" i="12" s="1"/>
  <c r="J15" i="12"/>
  <c r="I15" i="12"/>
  <c r="F15" i="12"/>
  <c r="Q14" i="12"/>
  <c r="P14" i="12"/>
  <c r="M14" i="12"/>
  <c r="I14" i="12"/>
  <c r="J14" i="12" s="1"/>
  <c r="R14" i="12" s="1"/>
  <c r="F14" i="12"/>
  <c r="P13" i="12"/>
  <c r="M13" i="12"/>
  <c r="I13" i="12"/>
  <c r="F13" i="12"/>
  <c r="Q13" i="12" s="1"/>
  <c r="P12" i="12"/>
  <c r="M12" i="12"/>
  <c r="L12" i="12"/>
  <c r="I12" i="12"/>
  <c r="I46" i="12" s="1"/>
  <c r="F12" i="12"/>
  <c r="Q12" i="12" s="1"/>
  <c r="P11" i="12"/>
  <c r="M11" i="12"/>
  <c r="I11" i="12"/>
  <c r="F11" i="12"/>
  <c r="Q11" i="12" s="1"/>
  <c r="P10" i="12"/>
  <c r="L10" i="12"/>
  <c r="M10" i="12" s="1"/>
  <c r="I10" i="12"/>
  <c r="F10" i="12"/>
  <c r="Q10" i="12" s="1"/>
  <c r="D33" i="4"/>
  <c r="C33" i="4"/>
  <c r="E32" i="4"/>
  <c r="G32" i="4" s="1"/>
  <c r="G31" i="4"/>
  <c r="E30" i="4"/>
  <c r="G30" i="4" s="1"/>
  <c r="E33" i="4"/>
  <c r="E28" i="4"/>
  <c r="G28" i="4" s="1"/>
  <c r="D21" i="4"/>
  <c r="C21" i="4"/>
  <c r="E20" i="4"/>
  <c r="E19" i="4"/>
  <c r="E18" i="4"/>
  <c r="E17" i="4"/>
  <c r="E16" i="4"/>
  <c r="E15" i="4"/>
  <c r="E14" i="4"/>
  <c r="E13" i="4"/>
  <c r="E12" i="4"/>
  <c r="E11" i="4"/>
  <c r="E10" i="4"/>
  <c r="E9" i="4"/>
  <c r="E8" i="4"/>
  <c r="E7" i="4"/>
  <c r="E21" i="4" s="1"/>
  <c r="F19" i="8"/>
  <c r="G5" i="8"/>
  <c r="B5" i="8" s="1"/>
  <c r="F5" i="8"/>
  <c r="F18" i="8" s="1"/>
  <c r="C5" i="8"/>
  <c r="B6" i="8" s="1"/>
  <c r="C1" i="8"/>
  <c r="B1" i="8"/>
  <c r="F6" i="8" l="1"/>
  <c r="F11" i="8"/>
  <c r="F15" i="8"/>
  <c r="M46" i="12"/>
  <c r="B19" i="8"/>
  <c r="B15" i="8"/>
  <c r="B11" i="8"/>
  <c r="B10" i="8"/>
  <c r="B12" i="8"/>
  <c r="B18" i="8"/>
  <c r="B14" i="8"/>
  <c r="B17" i="8"/>
  <c r="B13" i="8"/>
  <c r="B9" i="8"/>
  <c r="B16" i="8"/>
  <c r="B8" i="8"/>
  <c r="R19" i="12"/>
  <c r="R31" i="12"/>
  <c r="R18" i="12"/>
  <c r="K130" i="17"/>
  <c r="R15" i="12"/>
  <c r="R30" i="12"/>
  <c r="R32" i="12"/>
  <c r="U105" i="17"/>
  <c r="H154" i="17"/>
  <c r="I131" i="17"/>
  <c r="W163" i="17"/>
  <c r="U163" i="17"/>
  <c r="W171" i="17"/>
  <c r="U171" i="17"/>
  <c r="K203" i="17"/>
  <c r="K227" i="17" s="1"/>
  <c r="I203" i="17"/>
  <c r="K213" i="17"/>
  <c r="I213" i="17"/>
  <c r="F8" i="8"/>
  <c r="F12" i="8"/>
  <c r="F16" i="8"/>
  <c r="J12" i="12"/>
  <c r="R12" i="12" s="1"/>
  <c r="J13" i="12"/>
  <c r="R13" i="12" s="1"/>
  <c r="Q20" i="12"/>
  <c r="Q21" i="12"/>
  <c r="J27" i="12"/>
  <c r="R27" i="12" s="1"/>
  <c r="Q33" i="12"/>
  <c r="J40" i="12"/>
  <c r="R40" i="12" s="1"/>
  <c r="J41" i="12"/>
  <c r="R41" i="12" s="1"/>
  <c r="J42" i="12"/>
  <c r="R42" i="12" s="1"/>
  <c r="Q45" i="12"/>
  <c r="I8" i="17"/>
  <c r="I24" i="17" s="1"/>
  <c r="I12" i="17"/>
  <c r="I16" i="17"/>
  <c r="I20" i="17"/>
  <c r="I50" i="17"/>
  <c r="K53" i="17"/>
  <c r="K78" i="17" s="1"/>
  <c r="I58" i="17"/>
  <c r="K61" i="17"/>
  <c r="K63" i="17"/>
  <c r="U64" i="17"/>
  <c r="K67" i="17"/>
  <c r="U68" i="17"/>
  <c r="K71" i="17"/>
  <c r="U72" i="17"/>
  <c r="K75" i="17"/>
  <c r="U76" i="17"/>
  <c r="U78" i="17"/>
  <c r="W81" i="17"/>
  <c r="W83" i="17" s="1"/>
  <c r="W100" i="17"/>
  <c r="W104" i="17"/>
  <c r="W105" i="17" s="1"/>
  <c r="W108" i="17"/>
  <c r="W122" i="17" s="1"/>
  <c r="U113" i="17"/>
  <c r="W116" i="17"/>
  <c r="I122" i="17"/>
  <c r="I130" i="17" s="1"/>
  <c r="K124" i="17"/>
  <c r="I129" i="17"/>
  <c r="W204" i="17"/>
  <c r="K194" i="17"/>
  <c r="I194" i="17"/>
  <c r="H260" i="17"/>
  <c r="W295" i="17"/>
  <c r="W306" i="17" s="1"/>
  <c r="U295" i="17"/>
  <c r="W319" i="17"/>
  <c r="U319" i="17"/>
  <c r="K413" i="17"/>
  <c r="T105" i="17"/>
  <c r="K258" i="17"/>
  <c r="I258" i="17"/>
  <c r="W327" i="17"/>
  <c r="U327" i="17"/>
  <c r="I44" i="14"/>
  <c r="H130" i="17"/>
  <c r="K136" i="17"/>
  <c r="K221" i="17"/>
  <c r="I221" i="17"/>
  <c r="J10" i="12"/>
  <c r="J11" i="12"/>
  <c r="R11" i="12" s="1"/>
  <c r="Q18" i="12"/>
  <c r="Q46" i="12" s="1"/>
  <c r="Q19" i="12"/>
  <c r="J25" i="12"/>
  <c r="R25" i="12" s="1"/>
  <c r="J26" i="12"/>
  <c r="R26" i="12" s="1"/>
  <c r="Q30" i="12"/>
  <c r="Q31" i="12"/>
  <c r="Q32" i="12"/>
  <c r="J39" i="12"/>
  <c r="R39" i="12" s="1"/>
  <c r="K8" i="17"/>
  <c r="K24" i="17" s="1"/>
  <c r="I47" i="17"/>
  <c r="K133" i="17"/>
  <c r="K143" i="17"/>
  <c r="K147" i="17"/>
  <c r="I147" i="17"/>
  <c r="H201" i="17"/>
  <c r="I183" i="17"/>
  <c r="I201" i="17" s="1"/>
  <c r="K186" i="17"/>
  <c r="K201" i="17" s="1"/>
  <c r="I186" i="17"/>
  <c r="H227" i="17"/>
  <c r="K260" i="17"/>
  <c r="K244" i="17"/>
  <c r="I244" i="17"/>
  <c r="K248" i="17"/>
  <c r="I248" i="17"/>
  <c r="K307" i="17"/>
  <c r="T330" i="17"/>
  <c r="U330" i="17" s="1"/>
  <c r="W307" i="17"/>
  <c r="U307" i="17"/>
  <c r="W311" i="17"/>
  <c r="U311" i="17"/>
  <c r="W315" i="17"/>
  <c r="U315" i="17"/>
  <c r="W354" i="17"/>
  <c r="F9" i="8"/>
  <c r="F13" i="8"/>
  <c r="F17" i="8"/>
  <c r="L46" i="12"/>
  <c r="T83" i="17"/>
  <c r="K135" i="17"/>
  <c r="I135" i="17"/>
  <c r="K182" i="17"/>
  <c r="T183" i="17"/>
  <c r="U183" i="17" s="1"/>
  <c r="K252" i="17"/>
  <c r="I252" i="17"/>
  <c r="W299" i="17"/>
  <c r="U299" i="17"/>
  <c r="K335" i="17"/>
  <c r="R354" i="17"/>
  <c r="F413" i="17"/>
  <c r="W217" i="17"/>
  <c r="W223" i="17" s="1"/>
  <c r="U217" i="17"/>
  <c r="W179" i="17"/>
  <c r="U179" i="17"/>
  <c r="G29" i="4"/>
  <c r="G33" i="4" s="1"/>
  <c r="U102" i="17"/>
  <c r="U112" i="17"/>
  <c r="U120" i="17"/>
  <c r="I128" i="17"/>
  <c r="I182" i="17"/>
  <c r="R288" i="17"/>
  <c r="T306" i="17"/>
  <c r="U306" i="17" s="1"/>
  <c r="F10" i="8"/>
  <c r="F14" i="8"/>
  <c r="F46" i="12"/>
  <c r="I10" i="17"/>
  <c r="I14" i="17"/>
  <c r="I18" i="17"/>
  <c r="I22" i="17"/>
  <c r="I54" i="17"/>
  <c r="U62" i="17"/>
  <c r="U66" i="17"/>
  <c r="U70" i="17"/>
  <c r="U74" i="17"/>
  <c r="U82" i="17"/>
  <c r="U109" i="17"/>
  <c r="U117" i="17"/>
  <c r="U143" i="17"/>
  <c r="K132" i="17"/>
  <c r="K224" i="17"/>
  <c r="I224" i="17"/>
  <c r="I227" i="17" s="1"/>
  <c r="W303" i="17"/>
  <c r="U303" i="17"/>
  <c r="F44" i="14"/>
  <c r="K131" i="17"/>
  <c r="K205" i="17"/>
  <c r="I205" i="17"/>
  <c r="W323" i="17"/>
  <c r="U323" i="17"/>
  <c r="U106" i="17"/>
  <c r="W143" i="17"/>
  <c r="F154" i="17"/>
  <c r="K139" i="17"/>
  <c r="W157" i="17"/>
  <c r="W254" i="17"/>
  <c r="G44" i="14"/>
  <c r="W158" i="17"/>
  <c r="W183" i="17" s="1"/>
  <c r="F201" i="17"/>
  <c r="K388" i="17"/>
  <c r="R204" i="17"/>
  <c r="F307" i="17"/>
  <c r="I331" i="17"/>
  <c r="I192" i="17"/>
  <c r="I200" i="17"/>
  <c r="W255" i="17"/>
  <c r="W288" i="17" s="1"/>
  <c r="U318" i="17"/>
  <c r="U322" i="17"/>
  <c r="U326" i="17"/>
  <c r="U162" i="17"/>
  <c r="U170" i="17"/>
  <c r="I210" i="17"/>
  <c r="I218" i="17"/>
  <c r="T223" i="17"/>
  <c r="U223" i="17" s="1"/>
  <c r="I308" i="17"/>
  <c r="I312" i="17"/>
  <c r="I316" i="17"/>
  <c r="I320" i="17"/>
  <c r="I324" i="17"/>
  <c r="I328" i="17"/>
  <c r="I334" i="17"/>
  <c r="H335" i="17"/>
  <c r="I335" i="17" s="1"/>
  <c r="I242" i="17"/>
  <c r="W330" i="17" l="1"/>
  <c r="I154" i="17"/>
  <c r="I78" i="17"/>
  <c r="U83" i="17"/>
  <c r="R10" i="12"/>
  <c r="R46" i="12" s="1"/>
  <c r="J46" i="12"/>
  <c r="K154" i="17"/>
  <c r="I260" i="17"/>
  <c r="U122" i="17"/>
</calcChain>
</file>

<file path=xl/sharedStrings.xml><?xml version="1.0" encoding="utf-8"?>
<sst xmlns="http://schemas.openxmlformats.org/spreadsheetml/2006/main" count="2749" uniqueCount="955">
  <si>
    <t>PREVIOUS MONTH</t>
  </si>
  <si>
    <t>CURRENTMONTH</t>
  </si>
  <si>
    <t>YEAR</t>
  </si>
  <si>
    <t>MONTH</t>
  </si>
  <si>
    <t>DAY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</si>
  <si>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</si>
  <si>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</si>
  <si>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</si>
  <si>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</si>
  <si>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</si>
  <si>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</si>
  <si>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</si>
  <si>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</si>
  <si>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</si>
  <si>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</si>
  <si>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</si>
  <si>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</si>
  <si>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Office of the Accountant General of the Federation</t>
  </si>
  <si>
    <t xml:space="preserve">  Federation Account Department</t>
  </si>
  <si>
    <t>Table  1</t>
  </si>
  <si>
    <t>Summary of Gross Revenue Allocation by Federation Account Allocation Committee for the Month of July, 2022 Shared in August, 2022</t>
  </si>
  <si>
    <t>S/n</t>
  </si>
  <si>
    <t>Beneficiaries</t>
  </si>
  <si>
    <t>Statutory</t>
  </si>
  <si>
    <t>VAT</t>
  </si>
  <si>
    <t>Total</t>
  </si>
  <si>
    <t>₦</t>
  </si>
  <si>
    <t>FGN (see Table II)</t>
  </si>
  <si>
    <t>State (see Table III)</t>
  </si>
  <si>
    <t>LGCs (see Table IV)</t>
  </si>
  <si>
    <t>13% Derivation Fund</t>
  </si>
  <si>
    <t>Cost of Collection - NCS</t>
  </si>
  <si>
    <t xml:space="preserve"> Cost of Collections - FIRS</t>
  </si>
  <si>
    <t xml:space="preserve"> Cost of Collections - DPR</t>
  </si>
  <si>
    <t>FIRS Refund on Cost of Collection</t>
  </si>
  <si>
    <t>FIRS Refund</t>
  </si>
  <si>
    <t>13% Derivation Refund to Oil Producing States</t>
  </si>
  <si>
    <t>13% Refunds on Subsidy, Priority Projects and Police Trust Fund  2022</t>
  </si>
  <si>
    <t xml:space="preserve">13% Refunds on Subsidy, Priority Projects </t>
  </si>
  <si>
    <t>North East Development Commission</t>
  </si>
  <si>
    <t>Transfer to non-oil Excess account</t>
  </si>
  <si>
    <t>TOTAL</t>
  </si>
  <si>
    <t>Distribution of Revenue Allocation to FGN by Federation Account Allocation Committee for the Month of July, 2022 Shared in August, 2022</t>
  </si>
  <si>
    <t>Table II</t>
  </si>
  <si>
    <t>4=2-3</t>
  </si>
  <si>
    <t>6=4+5</t>
  </si>
  <si>
    <t>Gross Statutory Allocation</t>
  </si>
  <si>
    <t>Total Deduction</t>
  </si>
  <si>
    <t>Net Statutory Allocation</t>
  </si>
  <si>
    <t>FGN (CRF Account)</t>
  </si>
  <si>
    <t>Share of Derivation &amp; Ecology</t>
  </si>
  <si>
    <t>Stabilization</t>
  </si>
  <si>
    <t>Development of Natural Resources</t>
  </si>
  <si>
    <t>FCT-Abuja</t>
  </si>
  <si>
    <r>
      <rPr>
        <sz val="16"/>
        <rFont val="Times New Roman"/>
        <charset val="134"/>
      </rPr>
      <t xml:space="preserve">Source: </t>
    </r>
    <r>
      <rPr>
        <b/>
        <sz val="16"/>
        <rFont val="Times New Roman"/>
        <charset val="134"/>
      </rPr>
      <t>Office of the Accountant-General of the Federation</t>
    </r>
  </si>
  <si>
    <r>
      <rPr>
        <b/>
        <sz val="16"/>
        <rFont val="Times New Roman"/>
        <charset val="134"/>
      </rPr>
      <t xml:space="preserve">The above information is also available on the Federal Ministry of Finance website </t>
    </r>
    <r>
      <rPr>
        <b/>
        <u/>
        <sz val="16"/>
        <rFont val="Times New Roman"/>
        <charset val="134"/>
      </rPr>
      <t>www.fmf.gov.ng</t>
    </r>
    <r>
      <rPr>
        <b/>
        <sz val="16"/>
        <rFont val="Times New Roman"/>
        <charset val="134"/>
      </rPr>
      <t xml:space="preserve"> and Office of Accountant-General of the Federation website </t>
    </r>
    <r>
      <rPr>
        <b/>
        <u/>
        <sz val="16"/>
        <rFont val="Times New Roman"/>
        <charset val="134"/>
      </rPr>
      <t>www.oagf.gov.ng</t>
    </r>
    <r>
      <rPr>
        <b/>
        <sz val="16"/>
        <rFont val="Times New Roman"/>
        <charset val="134"/>
      </rPr>
      <t xml:space="preserve">.  In addition, you would find on these websites details of the Capital and Recurrent allocations to all arms of Government including Federal Ministries and Agencies.  The Budget Office website </t>
    </r>
    <r>
      <rPr>
        <b/>
        <u/>
        <sz val="16"/>
        <rFont val="Times New Roman"/>
        <charset val="134"/>
      </rPr>
      <t>www.budgetoffice.gov.ng</t>
    </r>
    <r>
      <rPr>
        <b/>
        <sz val="16"/>
        <rFont val="Times New Roman"/>
        <charset val="134"/>
      </rPr>
      <t xml:space="preserve"> also contains information about the Budget.</t>
    </r>
  </si>
  <si>
    <t>……………………………………………………………</t>
  </si>
  <si>
    <t>Mrs. (Dr) Zainab S. Ahmed</t>
  </si>
  <si>
    <t>Hon. Minister of Finance, Budget and National Planning</t>
  </si>
  <si>
    <t>Abuja. Nigeria.</t>
  </si>
  <si>
    <t>Office  of the Accountant General of the Federation</t>
  </si>
  <si>
    <t>Federation Account Department</t>
  </si>
  <si>
    <t>Table III</t>
  </si>
  <si>
    <t>Distribution of Revenue Allocation to State Governments by Federation Account Allocation Committee for the month of June,  2022 shared in July, 2022</t>
  </si>
  <si>
    <t>10=6-(7+8+9)</t>
  </si>
  <si>
    <t>17=6+11+14</t>
  </si>
  <si>
    <t>18=10+13+16</t>
  </si>
  <si>
    <t>No. of LGCs</t>
  </si>
  <si>
    <t>Statutory Allocation</t>
  </si>
  <si>
    <t>13% Share of Derivation (Net)</t>
  </si>
  <si>
    <t>Gross Total</t>
  </si>
  <si>
    <t>Deductions</t>
  </si>
  <si>
    <t>TOTAL Share of Ecology</t>
  </si>
  <si>
    <t>Transfer of 50% Share of Ecology to NDDC/HYPPADEC</t>
  </si>
  <si>
    <t>Net Share of Ecology</t>
  </si>
  <si>
    <t>Gross VAT Allocation</t>
  </si>
  <si>
    <t>VAT Deduction</t>
  </si>
  <si>
    <t>Net VAT Allocation</t>
  </si>
  <si>
    <t>Total Gross Amount</t>
  </si>
  <si>
    <t>Total Net Amount</t>
  </si>
  <si>
    <t>External Debt</t>
  </si>
  <si>
    <t>Contractual Obligation (ISPO)</t>
  </si>
  <si>
    <t xml:space="preserve">Other Deductions   </t>
  </si>
  <si>
    <t>ABIA</t>
  </si>
  <si>
    <t>ADAMAWA</t>
  </si>
  <si>
    <t>AKWA IBOM</t>
  </si>
  <si>
    <t>ANAMBRA</t>
  </si>
  <si>
    <t>BAUCHI</t>
  </si>
  <si>
    <t>BAYELSA</t>
  </si>
  <si>
    <t>BENUE</t>
  </si>
  <si>
    <t>BORNO</t>
  </si>
  <si>
    <t>CROSS RIVER</t>
  </si>
  <si>
    <t>DELTA</t>
  </si>
  <si>
    <t>EBONYI</t>
  </si>
  <si>
    <t>EDO</t>
  </si>
  <si>
    <t>EKITI</t>
  </si>
  <si>
    <t>ENUGU</t>
  </si>
  <si>
    <t>GOMBE</t>
  </si>
  <si>
    <t>IMO</t>
  </si>
  <si>
    <t>JIGAWA</t>
  </si>
  <si>
    <t>KADUNA</t>
  </si>
  <si>
    <t>KANO</t>
  </si>
  <si>
    <t>KATSINA</t>
  </si>
  <si>
    <t>KEBBI</t>
  </si>
  <si>
    <t>KOGI</t>
  </si>
  <si>
    <t>KWARA</t>
  </si>
  <si>
    <t>LAGOS</t>
  </si>
  <si>
    <t>NASSARAWA</t>
  </si>
  <si>
    <t>NIGER</t>
  </si>
  <si>
    <t>OGUN</t>
  </si>
  <si>
    <t>ONDO</t>
  </si>
  <si>
    <t>OSUN</t>
  </si>
  <si>
    <t>OYO</t>
  </si>
  <si>
    <t>PLATEAU</t>
  </si>
  <si>
    <t>RIVERS</t>
  </si>
  <si>
    <t>SOKOTO</t>
  </si>
  <si>
    <t>TARABA</t>
  </si>
  <si>
    <t>YOBE</t>
  </si>
  <si>
    <t>ZAMFARA</t>
  </si>
  <si>
    <t>Office of the Accountant-General of the Federation</t>
  </si>
  <si>
    <t xml:space="preserve"> Distribution  of Revenue Allocation to Local Government Councils by Federation Account Allocation Committee for the Month of June,  2022 shared in July, 2022</t>
  </si>
  <si>
    <t>States</t>
  </si>
  <si>
    <t>Local Government Councils</t>
  </si>
  <si>
    <t>Deduction</t>
  </si>
  <si>
    <t>Total Ecological Funds</t>
  </si>
  <si>
    <t>Value Added Tax</t>
  </si>
  <si>
    <t>Total Allocation</t>
  </si>
  <si>
    <t>State</t>
  </si>
  <si>
    <t>ABA NORTH</t>
  </si>
  <si>
    <t>KUNCHI</t>
  </si>
  <si>
    <t>ABA SOUTH</t>
  </si>
  <si>
    <t>KURA</t>
  </si>
  <si>
    <t>AROCHUKWU</t>
  </si>
  <si>
    <t>MADOBI</t>
  </si>
  <si>
    <t>BENDE</t>
  </si>
  <si>
    <t>MAKODA</t>
  </si>
  <si>
    <t>IKWUANO</t>
  </si>
  <si>
    <t>MINJIBIR</t>
  </si>
  <si>
    <t>ISIALA NGWA NORTH</t>
  </si>
  <si>
    <t>ISIALA NGWA SOUTH</t>
  </si>
  <si>
    <t>RANO</t>
  </si>
  <si>
    <t>ISUIKWUATO</t>
  </si>
  <si>
    <t>RIMIN GADO</t>
  </si>
  <si>
    <t>NNEOCHI</t>
  </si>
  <si>
    <t>ROGO</t>
  </si>
  <si>
    <t>OBIOMA NGWA</t>
  </si>
  <si>
    <t>SHANONO</t>
  </si>
  <si>
    <t>OHAFIA</t>
  </si>
  <si>
    <t>SUMAILA</t>
  </si>
  <si>
    <t>OSISIOMA</t>
  </si>
  <si>
    <t>TAKAI</t>
  </si>
  <si>
    <t>UGWUNAGBO</t>
  </si>
  <si>
    <t>TARAUNI</t>
  </si>
  <si>
    <t>UKWA EAST</t>
  </si>
  <si>
    <t>TOFA</t>
  </si>
  <si>
    <t>UKWA WEST</t>
  </si>
  <si>
    <t>TSANYAWA</t>
  </si>
  <si>
    <t>UMUAHIA NORTH</t>
  </si>
  <si>
    <t>TUDUN WADA</t>
  </si>
  <si>
    <t>UMUAHIA SOUTH</t>
  </si>
  <si>
    <t>UNGOGO</t>
  </si>
  <si>
    <t>ABIA TOTAL</t>
  </si>
  <si>
    <t>WARAWA</t>
  </si>
  <si>
    <t>Adamawa</t>
  </si>
  <si>
    <t>DEMSA</t>
  </si>
  <si>
    <t>WUDIL</t>
  </si>
  <si>
    <t>FUFORE</t>
  </si>
  <si>
    <t>GANYE</t>
  </si>
  <si>
    <t>BAKORI</t>
  </si>
  <si>
    <t>GIREI</t>
  </si>
  <si>
    <t>BATAGARAWA</t>
  </si>
  <si>
    <t>GOMBI</t>
  </si>
  <si>
    <t>BATSARI</t>
  </si>
  <si>
    <t>GUYUK</t>
  </si>
  <si>
    <t>BAURE</t>
  </si>
  <si>
    <t>HONG</t>
  </si>
  <si>
    <t>BINDAWA</t>
  </si>
  <si>
    <t>JADA</t>
  </si>
  <si>
    <t>CHARANCHI</t>
  </si>
  <si>
    <t>YOLA-NORTH</t>
  </si>
  <si>
    <t>DAN-MUSA</t>
  </si>
  <si>
    <t>LAMURDE</t>
  </si>
  <si>
    <t>DANDUME</t>
  </si>
  <si>
    <t>MADAGALI</t>
  </si>
  <si>
    <t>DANJA</t>
  </si>
  <si>
    <t>MAIHA</t>
  </si>
  <si>
    <t>DAURA</t>
  </si>
  <si>
    <t>MAYO-BELWA</t>
  </si>
  <si>
    <t>DUTSI</t>
  </si>
  <si>
    <t>MICHIKA</t>
  </si>
  <si>
    <t>DUTSINMA</t>
  </si>
  <si>
    <t>MUBI NORTH</t>
  </si>
  <si>
    <t>FASKARI</t>
  </si>
  <si>
    <t>MUBI SOUTH</t>
  </si>
  <si>
    <t>FUNTUA</t>
  </si>
  <si>
    <t>NUMAN</t>
  </si>
  <si>
    <t>INGAWA</t>
  </si>
  <si>
    <t>SHELLENG</t>
  </si>
  <si>
    <t>JIBIA</t>
  </si>
  <si>
    <t>SONG</t>
  </si>
  <si>
    <t>KAFUR</t>
  </si>
  <si>
    <t>TOUNGO</t>
  </si>
  <si>
    <t>KAITA</t>
  </si>
  <si>
    <t>YOLA-SOUTH</t>
  </si>
  <si>
    <t>KANKARA</t>
  </si>
  <si>
    <t>ADAMAWA TOTAL</t>
  </si>
  <si>
    <t>KANKIA</t>
  </si>
  <si>
    <t xml:space="preserve">AkWA IBOM </t>
  </si>
  <si>
    <t>ABAK</t>
  </si>
  <si>
    <t>EASTERN OBOLO</t>
  </si>
  <si>
    <t>KURFI</t>
  </si>
  <si>
    <t>EKET</t>
  </si>
  <si>
    <t>KUSADA</t>
  </si>
  <si>
    <t>EKPE ATAI</t>
  </si>
  <si>
    <t>MAIADUA</t>
  </si>
  <si>
    <t>ESSIEN UDIM</t>
  </si>
  <si>
    <t>MALUMFASHI</t>
  </si>
  <si>
    <t>ETIM EKPO</t>
  </si>
  <si>
    <t>MANI</t>
  </si>
  <si>
    <t>ETINAN</t>
  </si>
  <si>
    <t>MASHI</t>
  </si>
  <si>
    <t>IBENO</t>
  </si>
  <si>
    <t>MATAZU</t>
  </si>
  <si>
    <t>IBESIKPO ASUTAN</t>
  </si>
  <si>
    <t>MUSAWA</t>
  </si>
  <si>
    <t>IBIONO IBOM</t>
  </si>
  <si>
    <t>RIMI</t>
  </si>
  <si>
    <t>IKA</t>
  </si>
  <si>
    <t>SABUWA</t>
  </si>
  <si>
    <t>IKONO</t>
  </si>
  <si>
    <t>SAFANA</t>
  </si>
  <si>
    <t>IKOT ABASI</t>
  </si>
  <si>
    <t>SANDAMU</t>
  </si>
  <si>
    <t>IKOT EKPENE</t>
  </si>
  <si>
    <t>ZANGO</t>
  </si>
  <si>
    <t>INI</t>
  </si>
  <si>
    <t>KATSINA TOTAL</t>
  </si>
  <si>
    <t>ITU</t>
  </si>
  <si>
    <t>ALIERU</t>
  </si>
  <si>
    <t>MBO</t>
  </si>
  <si>
    <t>AREWA</t>
  </si>
  <si>
    <t>MKPAT ENIN</t>
  </si>
  <si>
    <t>ARGUNGU</t>
  </si>
  <si>
    <t>NSIT IBOM</t>
  </si>
  <si>
    <t>AUGIE</t>
  </si>
  <si>
    <t>NSIT UBIUM</t>
  </si>
  <si>
    <t>BAGUDO</t>
  </si>
  <si>
    <t>OBAT AKARA</t>
  </si>
  <si>
    <t>BIRNIN -KEBBI</t>
  </si>
  <si>
    <t>OKOBO</t>
  </si>
  <si>
    <t>BUNZA</t>
  </si>
  <si>
    <t>ONNA</t>
  </si>
  <si>
    <t>DANDI KAMBA</t>
  </si>
  <si>
    <t>ORON</t>
  </si>
  <si>
    <t>DANKO /WASAGU</t>
  </si>
  <si>
    <t>ORUK ANAM</t>
  </si>
  <si>
    <t>FAKAI</t>
  </si>
  <si>
    <t>UDUNG UKO</t>
  </si>
  <si>
    <t>GWANDU</t>
  </si>
  <si>
    <t>UKANAFUN</t>
  </si>
  <si>
    <t>JEGA</t>
  </si>
  <si>
    <t>UQUO</t>
  </si>
  <si>
    <t>KALGO</t>
  </si>
  <si>
    <t>URUAN</t>
  </si>
  <si>
    <t>KOKO/BESSE</t>
  </si>
  <si>
    <t>URUE OFFONG/ORUK</t>
  </si>
  <si>
    <t>MAIYAMA</t>
  </si>
  <si>
    <t>UYO</t>
  </si>
  <si>
    <t>NGASKI</t>
  </si>
  <si>
    <t>AKWA IBOM TOTAL</t>
  </si>
  <si>
    <t>SAKABA</t>
  </si>
  <si>
    <t xml:space="preserve">ANAMBRA </t>
  </si>
  <si>
    <t>AGUATA</t>
  </si>
  <si>
    <t>SHANGA</t>
  </si>
  <si>
    <t>ANAMBRA EAST</t>
  </si>
  <si>
    <t>SURU</t>
  </si>
  <si>
    <t>ANAMBRA WEST</t>
  </si>
  <si>
    <t>YAURI</t>
  </si>
  <si>
    <t>ANIOCHA</t>
  </si>
  <si>
    <t>ZURU</t>
  </si>
  <si>
    <t>AWKA NORTH</t>
  </si>
  <si>
    <t>KEBBI TOTAL</t>
  </si>
  <si>
    <t>AWKA SOUTH</t>
  </si>
  <si>
    <t>ADAVI</t>
  </si>
  <si>
    <t>AYAMELUM</t>
  </si>
  <si>
    <t>AJAOKUTA</t>
  </si>
  <si>
    <t>DUNUKOFIA</t>
  </si>
  <si>
    <t>ANKPA</t>
  </si>
  <si>
    <t>EKWUSIGWO</t>
  </si>
  <si>
    <t>BASSA</t>
  </si>
  <si>
    <t>IDEMILI NORTH</t>
  </si>
  <si>
    <t>DEKINA</t>
  </si>
  <si>
    <t>IDEMILI SOUTH</t>
  </si>
  <si>
    <t>IBAJI</t>
  </si>
  <si>
    <t>IHIALA</t>
  </si>
  <si>
    <t>IDAH</t>
  </si>
  <si>
    <t>NJIKOKA</t>
  </si>
  <si>
    <t>IGALAMELA</t>
  </si>
  <si>
    <t>NNEWI NORTH</t>
  </si>
  <si>
    <t>IJUMU</t>
  </si>
  <si>
    <t>NNEWI SOUTH</t>
  </si>
  <si>
    <t>KABBA/BUNU</t>
  </si>
  <si>
    <t>OGBARU</t>
  </si>
  <si>
    <t>ONISHA NORTH</t>
  </si>
  <si>
    <t>KOTON KARFE</t>
  </si>
  <si>
    <t>ONISHA SOUTH</t>
  </si>
  <si>
    <t>MOPA-MURO</t>
  </si>
  <si>
    <t>ORUMBA NORTH</t>
  </si>
  <si>
    <t>OFU</t>
  </si>
  <si>
    <t>ORUMBA SOUTH</t>
  </si>
  <si>
    <t>OGORI/MAGONGO</t>
  </si>
  <si>
    <t>OYI</t>
  </si>
  <si>
    <t>OKEHI</t>
  </si>
  <si>
    <t>ANAMBRA TOTAL</t>
  </si>
  <si>
    <t>OKENE</t>
  </si>
  <si>
    <t xml:space="preserve">BAUCHI </t>
  </si>
  <si>
    <t>ALKALERI</t>
  </si>
  <si>
    <t>OLAMABORO</t>
  </si>
  <si>
    <t>OMALA</t>
  </si>
  <si>
    <t>BOGORO</t>
  </si>
  <si>
    <t>YAGBA EAST</t>
  </si>
  <si>
    <t>DAMBAN</t>
  </si>
  <si>
    <t>YAGBA WEST</t>
  </si>
  <si>
    <t>DARAZO</t>
  </si>
  <si>
    <t>KOGI TOTAL</t>
  </si>
  <si>
    <t>DASS</t>
  </si>
  <si>
    <t>ASA</t>
  </si>
  <si>
    <t>GAMAWA</t>
  </si>
  <si>
    <t>BARUTEN</t>
  </si>
  <si>
    <t>GANJUWA</t>
  </si>
  <si>
    <t>EDU</t>
  </si>
  <si>
    <t>GIADE</t>
  </si>
  <si>
    <t>I/GADAU</t>
  </si>
  <si>
    <t>IFELODUN</t>
  </si>
  <si>
    <t>JAMA'ARE</t>
  </si>
  <si>
    <t>ILORIN EAST</t>
  </si>
  <si>
    <t>KATAGUM</t>
  </si>
  <si>
    <t>ILORIN SOUTH</t>
  </si>
  <si>
    <t>KIRFI</t>
  </si>
  <si>
    <t>ILORIN WEST</t>
  </si>
  <si>
    <t>MISAU</t>
  </si>
  <si>
    <t>IREPODUN</t>
  </si>
  <si>
    <t>NINGI</t>
  </si>
  <si>
    <t>KAI AMA</t>
  </si>
  <si>
    <t>SHIRA</t>
  </si>
  <si>
    <t>MORO</t>
  </si>
  <si>
    <t>TAFAWA BALEWA</t>
  </si>
  <si>
    <t>OFFA</t>
  </si>
  <si>
    <t>TORO</t>
  </si>
  <si>
    <t>OKE-ERO</t>
  </si>
  <si>
    <t>WARJI</t>
  </si>
  <si>
    <t>OSIN</t>
  </si>
  <si>
    <t>ZAKI</t>
  </si>
  <si>
    <t>OYUN</t>
  </si>
  <si>
    <t>BAUCHI TOTAL</t>
  </si>
  <si>
    <t>PATEGI</t>
  </si>
  <si>
    <t xml:space="preserve">BAYELSA </t>
  </si>
  <si>
    <t>BRASS</t>
  </si>
  <si>
    <t>KWARA TOTAL</t>
  </si>
  <si>
    <t>EKERMOR</t>
  </si>
  <si>
    <t>AGEGE</t>
  </si>
  <si>
    <t>KOLOKUMA/OPOKUMA</t>
  </si>
  <si>
    <t>AJEROMI/IFELODUN</t>
  </si>
  <si>
    <t>NEMBE</t>
  </si>
  <si>
    <t>ALIMOSHO</t>
  </si>
  <si>
    <t>OGBIA</t>
  </si>
  <si>
    <t>AMOWO-ODOFIN</t>
  </si>
  <si>
    <t>SAGBAMA</t>
  </si>
  <si>
    <t>APAPA</t>
  </si>
  <si>
    <t>SOUTHERN IJAW</t>
  </si>
  <si>
    <t>BADAGRY</t>
  </si>
  <si>
    <t>YENAGOA</t>
  </si>
  <si>
    <t>EPE</t>
  </si>
  <si>
    <t>BAYELSA TOTAL</t>
  </si>
  <si>
    <t>ETI-OSA</t>
  </si>
  <si>
    <t xml:space="preserve">BENUE </t>
  </si>
  <si>
    <t>ADO</t>
  </si>
  <si>
    <t>IBEJU-LEKKI</t>
  </si>
  <si>
    <t>AGATU</t>
  </si>
  <si>
    <t>IFAKO/IJAYE</t>
  </si>
  <si>
    <t>APA</t>
  </si>
  <si>
    <t>IKEJA</t>
  </si>
  <si>
    <t>BURUKU</t>
  </si>
  <si>
    <t>IKORODU</t>
  </si>
  <si>
    <t>GBOKO</t>
  </si>
  <si>
    <t>KOSOFE</t>
  </si>
  <si>
    <t>GUMA</t>
  </si>
  <si>
    <t>LAGOS ISLAND</t>
  </si>
  <si>
    <t>GWER EAST</t>
  </si>
  <si>
    <t>LAGOS MAINLAND</t>
  </si>
  <si>
    <t>GWER WEST</t>
  </si>
  <si>
    <t>MUSHIN</t>
  </si>
  <si>
    <t>KATSINA ALA</t>
  </si>
  <si>
    <t>OJO</t>
  </si>
  <si>
    <t>KONSHISHA</t>
  </si>
  <si>
    <t>OSHODI/ISOLO</t>
  </si>
  <si>
    <t>KWANDE</t>
  </si>
  <si>
    <t>SOMOLU</t>
  </si>
  <si>
    <t>LOGO</t>
  </si>
  <si>
    <t>SURULERE</t>
  </si>
  <si>
    <t>MAKURDI</t>
  </si>
  <si>
    <t>LAGOS TOTAL</t>
  </si>
  <si>
    <t>OBI</t>
  </si>
  <si>
    <t>AKWANGA</t>
  </si>
  <si>
    <t>OGBADIBO</t>
  </si>
  <si>
    <t>AWE</t>
  </si>
  <si>
    <t>OHIMINI</t>
  </si>
  <si>
    <t>DOMA</t>
  </si>
  <si>
    <t>OJU</t>
  </si>
  <si>
    <t>KARU</t>
  </si>
  <si>
    <t>OKPOKWU</t>
  </si>
  <si>
    <t>KEANA</t>
  </si>
  <si>
    <t>OTUKPO</t>
  </si>
  <si>
    <t>KEFFI</t>
  </si>
  <si>
    <t>TARKA</t>
  </si>
  <si>
    <t>KOKONA</t>
  </si>
  <si>
    <t>UKUM</t>
  </si>
  <si>
    <t>LAFIA</t>
  </si>
  <si>
    <t>USHONGO</t>
  </si>
  <si>
    <t>NASARAWA</t>
  </si>
  <si>
    <t>VANDEIKYA</t>
  </si>
  <si>
    <t>NASARAWA EGGON</t>
  </si>
  <si>
    <t>BENUE TOTAL</t>
  </si>
  <si>
    <t xml:space="preserve">BORNO </t>
  </si>
  <si>
    <t>ABADAN</t>
  </si>
  <si>
    <t>TOTO</t>
  </si>
  <si>
    <t>ASKIRA UBA</t>
  </si>
  <si>
    <t>WAMBA</t>
  </si>
  <si>
    <t>BAMA</t>
  </si>
  <si>
    <t>NASSARAWA TOTAL</t>
  </si>
  <si>
    <t>BAYO</t>
  </si>
  <si>
    <t>AGAIE</t>
  </si>
  <si>
    <t>BIU</t>
  </si>
  <si>
    <t>AGWARA</t>
  </si>
  <si>
    <t>CHIBOK</t>
  </si>
  <si>
    <t>BIDA</t>
  </si>
  <si>
    <t>DAMBOA</t>
  </si>
  <si>
    <t>BORGU</t>
  </si>
  <si>
    <t>DIKWA</t>
  </si>
  <si>
    <t>BOSSO</t>
  </si>
  <si>
    <t>GUBIO</t>
  </si>
  <si>
    <t>EDATI</t>
  </si>
  <si>
    <t>GUZAMALA</t>
  </si>
  <si>
    <t>GBAKO</t>
  </si>
  <si>
    <t>GWOZA</t>
  </si>
  <si>
    <t>GURARA</t>
  </si>
  <si>
    <t>HAWUL</t>
  </si>
  <si>
    <t>KATCHA</t>
  </si>
  <si>
    <t>JERE</t>
  </si>
  <si>
    <t>KONTAGORA</t>
  </si>
  <si>
    <t>KAGA</t>
  </si>
  <si>
    <t>LAPAI</t>
  </si>
  <si>
    <t>KALA BALGE</t>
  </si>
  <si>
    <t>LAVUN</t>
  </si>
  <si>
    <t>KONDUGA</t>
  </si>
  <si>
    <t>MAGAMA</t>
  </si>
  <si>
    <t>KUKAWA</t>
  </si>
  <si>
    <t>MARIGA</t>
  </si>
  <si>
    <t>KWAYA KUSAR</t>
  </si>
  <si>
    <t>MASHEGU</t>
  </si>
  <si>
    <t>MAFA</t>
  </si>
  <si>
    <t>MINNA</t>
  </si>
  <si>
    <t>MAGUMERI</t>
  </si>
  <si>
    <t>MOKWA</t>
  </si>
  <si>
    <t>MAIDUGURI METRO</t>
  </si>
  <si>
    <t>MUYA</t>
  </si>
  <si>
    <t>MARTE</t>
  </si>
  <si>
    <t>PAIKORO</t>
  </si>
  <si>
    <t>MOBBAR</t>
  </si>
  <si>
    <t>RAFI</t>
  </si>
  <si>
    <t>MONGUNO</t>
  </si>
  <si>
    <t>RIJAU</t>
  </si>
  <si>
    <t>NGALA</t>
  </si>
  <si>
    <t>SHIRORO</t>
  </si>
  <si>
    <t>NGANZAI</t>
  </si>
  <si>
    <t>SULEJA</t>
  </si>
  <si>
    <t>SHANI</t>
  </si>
  <si>
    <t>TAFA</t>
  </si>
  <si>
    <t>BORNO TOTAL</t>
  </si>
  <si>
    <t>WUSHISHI</t>
  </si>
  <si>
    <t xml:space="preserve">CROSS RIVER </t>
  </si>
  <si>
    <t>ABI</t>
  </si>
  <si>
    <t>NIGER TOTAL</t>
  </si>
  <si>
    <t>AKAMKPA</t>
  </si>
  <si>
    <t>ABEOKUTA NORTH</t>
  </si>
  <si>
    <t>AKPABUYO</t>
  </si>
  <si>
    <t>ABEOKUTA SOUTH</t>
  </si>
  <si>
    <t>BAKASSI</t>
  </si>
  <si>
    <t>ADO-ODO/OTA</t>
  </si>
  <si>
    <t>BEKWARA</t>
  </si>
  <si>
    <t>EGBADO NORTH</t>
  </si>
  <si>
    <t>BIASE</t>
  </si>
  <si>
    <t>EGBADO SOUTH</t>
  </si>
  <si>
    <t>BOKI</t>
  </si>
  <si>
    <t>EWEKORO</t>
  </si>
  <si>
    <t>CALABAR MUNICIPAL</t>
  </si>
  <si>
    <t>REMO NORTH</t>
  </si>
  <si>
    <t>CALABAR SOUTH</t>
  </si>
  <si>
    <t>IFO</t>
  </si>
  <si>
    <t>ETUNG</t>
  </si>
  <si>
    <t>IJEBU EAST</t>
  </si>
  <si>
    <t>IKOM</t>
  </si>
  <si>
    <t>IJEBU NORTH</t>
  </si>
  <si>
    <t>OBANLIKU</t>
  </si>
  <si>
    <t>IJEBU ODE</t>
  </si>
  <si>
    <t>OBUBRA</t>
  </si>
  <si>
    <t>IKENNE</t>
  </si>
  <si>
    <t>OBUDU</t>
  </si>
  <si>
    <t>IJEBU NORTH EAST</t>
  </si>
  <si>
    <t>ODUKPANI</t>
  </si>
  <si>
    <t>IMEKO-AFON</t>
  </si>
  <si>
    <t>OGAJA</t>
  </si>
  <si>
    <t>IPOKIA</t>
  </si>
  <si>
    <t>YAKURR</t>
  </si>
  <si>
    <t>OBAFEMI/OWODE</t>
  </si>
  <si>
    <t>YALA</t>
  </si>
  <si>
    <t>ODEDAH</t>
  </si>
  <si>
    <t>CROSS RIVER TOTAL</t>
  </si>
  <si>
    <t>ODOGBOLU</t>
  </si>
  <si>
    <t xml:space="preserve">DELTA </t>
  </si>
  <si>
    <t>ANIOCHA NORTH</t>
  </si>
  <si>
    <t>OGUN WATERSIDE</t>
  </si>
  <si>
    <t>ANIOCHA SOUTH</t>
  </si>
  <si>
    <t>SHAGAMU</t>
  </si>
  <si>
    <t>BOMADI</t>
  </si>
  <si>
    <t>OGUN TOTAL</t>
  </si>
  <si>
    <t>BURUTU</t>
  </si>
  <si>
    <t>AKOKO NORTH EAST</t>
  </si>
  <si>
    <t>ETHIOPE EAST</t>
  </si>
  <si>
    <t>AKOKO NORTH WEST</t>
  </si>
  <si>
    <t>ETHIOPE WEST</t>
  </si>
  <si>
    <t>AKOKO SOUTH WEST</t>
  </si>
  <si>
    <t>IKA NORTH EAST</t>
  </si>
  <si>
    <t>AKOKO SOUTH EAST</t>
  </si>
  <si>
    <t>IKA SOUTH</t>
  </si>
  <si>
    <t>AKURE NORTH</t>
  </si>
  <si>
    <t>ISOKO NORTH</t>
  </si>
  <si>
    <t>AKURE SOUTH</t>
  </si>
  <si>
    <t>ISOKO SOUTH</t>
  </si>
  <si>
    <t>IDANRE</t>
  </si>
  <si>
    <t>NDOKWA EAST</t>
  </si>
  <si>
    <t>IFEDORE</t>
  </si>
  <si>
    <t>NDOKWA WEST</t>
  </si>
  <si>
    <t>OKITIPUPA</t>
  </si>
  <si>
    <t>OKPE</t>
  </si>
  <si>
    <t>ILAJE</t>
  </si>
  <si>
    <t>OSHIMILI NORTH</t>
  </si>
  <si>
    <t>ESE-EDO</t>
  </si>
  <si>
    <t>OSHIMILI SOUTH</t>
  </si>
  <si>
    <t>ILE-OLUJI-OKEIGBO</t>
  </si>
  <si>
    <t>PATANI</t>
  </si>
  <si>
    <t>IRELE</t>
  </si>
  <si>
    <t>SAPELE</t>
  </si>
  <si>
    <t>ODIGBO</t>
  </si>
  <si>
    <t>UDU</t>
  </si>
  <si>
    <t>ONDO EAST</t>
  </si>
  <si>
    <t>UGHELLI NORTH</t>
  </si>
  <si>
    <t>ONDO WEST</t>
  </si>
  <si>
    <t>UGHELLI SOUTH</t>
  </si>
  <si>
    <t>OSE</t>
  </si>
  <si>
    <t>UKWUANI</t>
  </si>
  <si>
    <t>OWO</t>
  </si>
  <si>
    <t>UVWIE</t>
  </si>
  <si>
    <t>ONDO TOTAL</t>
  </si>
  <si>
    <t>WARRI SOUTH</t>
  </si>
  <si>
    <t>ATAKUMOSA EAST</t>
  </si>
  <si>
    <t>WARRI NORTH</t>
  </si>
  <si>
    <t>ATAKUMOSA WEST</t>
  </si>
  <si>
    <t>WARRI SOUTH-WEST</t>
  </si>
  <si>
    <t>AIYEDADE</t>
  </si>
  <si>
    <t>DELTA TOTAL</t>
  </si>
  <si>
    <t>AIYEDIRE</t>
  </si>
  <si>
    <t xml:space="preserve">EBONYI </t>
  </si>
  <si>
    <t>ABAKALIKI</t>
  </si>
  <si>
    <t>BOLUWADURO</t>
  </si>
  <si>
    <t>AFIKPO NORTH</t>
  </si>
  <si>
    <t>BORIPE</t>
  </si>
  <si>
    <t xml:space="preserve">AFIKPO SOUTH </t>
  </si>
  <si>
    <t>EDE NORTH</t>
  </si>
  <si>
    <t>EDE SOUTH</t>
  </si>
  <si>
    <t>EZZA NORTH</t>
  </si>
  <si>
    <t>EGBEDORE</t>
  </si>
  <si>
    <t>EZZA SOUTH</t>
  </si>
  <si>
    <t>EJIGBO</t>
  </si>
  <si>
    <t>IKWO</t>
  </si>
  <si>
    <t>IFE CENTRAL</t>
  </si>
  <si>
    <t>ISHIELU</t>
  </si>
  <si>
    <t>IFE EAST</t>
  </si>
  <si>
    <t>IVO</t>
  </si>
  <si>
    <t>IFE NORTH</t>
  </si>
  <si>
    <t>IZZI</t>
  </si>
  <si>
    <t>IFE SOUTH</t>
  </si>
  <si>
    <t>OHAOZARA</t>
  </si>
  <si>
    <t>IFEDAYO</t>
  </si>
  <si>
    <t>OHAUKWU</t>
  </si>
  <si>
    <t>ONICHA</t>
  </si>
  <si>
    <t>ILA</t>
  </si>
  <si>
    <t>EBONYI TOTAL</t>
  </si>
  <si>
    <t>ILESHA EAST</t>
  </si>
  <si>
    <t>EDO TOTAL</t>
  </si>
  <si>
    <t>AKOKO EDO</t>
  </si>
  <si>
    <t>ILESHA WEST</t>
  </si>
  <si>
    <t>EGOR</t>
  </si>
  <si>
    <t>ESAN CENTRAL</t>
  </si>
  <si>
    <t>IREWOLE</t>
  </si>
  <si>
    <t>ESAN NORTH EAST</t>
  </si>
  <si>
    <t>ISOKAN</t>
  </si>
  <si>
    <t>ESAN SOUTH EAST</t>
  </si>
  <si>
    <t>IWO</t>
  </si>
  <si>
    <t>ESAN WEST</t>
  </si>
  <si>
    <t>OBOKUN</t>
  </si>
  <si>
    <t>ETSAKO CENTRAL</t>
  </si>
  <si>
    <t>ODO-OTIN</t>
  </si>
  <si>
    <t>ETSAKO EAST</t>
  </si>
  <si>
    <t>OLA-OLUWA</t>
  </si>
  <si>
    <t>ETSAKO WEST</t>
  </si>
  <si>
    <t>OLORUNDA</t>
  </si>
  <si>
    <t>IGUEBEN</t>
  </si>
  <si>
    <t>ORIADE</t>
  </si>
  <si>
    <t>IKPOBA OKHA</t>
  </si>
  <si>
    <t>OROLU</t>
  </si>
  <si>
    <t>OREDO</t>
  </si>
  <si>
    <t>OSOGBO</t>
  </si>
  <si>
    <t>ORHIONWON</t>
  </si>
  <si>
    <t>OSUN TOTAL</t>
  </si>
  <si>
    <t>OVIA NORTH EAST</t>
  </si>
  <si>
    <t>AFIJIO</t>
  </si>
  <si>
    <t>OVIA SOUTH WEST</t>
  </si>
  <si>
    <t>AKINYELE</t>
  </si>
  <si>
    <t>OWAN EAST</t>
  </si>
  <si>
    <t>ATIBA</t>
  </si>
  <si>
    <t>OWAN WEST</t>
  </si>
  <si>
    <t>ATISBO</t>
  </si>
  <si>
    <t>UHUNMWODE</t>
  </si>
  <si>
    <t>EGBEDA</t>
  </si>
  <si>
    <t>IBADAN NORTH</t>
  </si>
  <si>
    <t xml:space="preserve">EKITI </t>
  </si>
  <si>
    <t>ADO EKITI</t>
  </si>
  <si>
    <t>IBADAN NORTH EAST</t>
  </si>
  <si>
    <t>AIYEKIRE</t>
  </si>
  <si>
    <t>IBADAN NORTH WEST</t>
  </si>
  <si>
    <t>EFON</t>
  </si>
  <si>
    <t>IBADAN SOUTH EAST</t>
  </si>
  <si>
    <t>EKITI EAST</t>
  </si>
  <si>
    <t>IBADAN SOUTH WEST</t>
  </si>
  <si>
    <t>EKITI SOUTH WEST</t>
  </si>
  <si>
    <t>IBARAPA CENTRAL</t>
  </si>
  <si>
    <t>EKITI WEST</t>
  </si>
  <si>
    <t>IBARAPA NORTH</t>
  </si>
  <si>
    <t>EMURE</t>
  </si>
  <si>
    <t>IDO</t>
  </si>
  <si>
    <t>IDO-OSI</t>
  </si>
  <si>
    <t>SAKI WEST</t>
  </si>
  <si>
    <t>IJERO</t>
  </si>
  <si>
    <t>IFELOJU</t>
  </si>
  <si>
    <t>IKERE</t>
  </si>
  <si>
    <t>IREPO</t>
  </si>
  <si>
    <t>IKOLE</t>
  </si>
  <si>
    <t>ISEYIN</t>
  </si>
  <si>
    <t>ILEJEMEJI</t>
  </si>
  <si>
    <t>ITESIWAJU</t>
  </si>
  <si>
    <t>IREPODUN/IFELODUN</t>
  </si>
  <si>
    <t>IWAJOWA</t>
  </si>
  <si>
    <t>ISE/ORUN</t>
  </si>
  <si>
    <t>OLORUNSOGO</t>
  </si>
  <si>
    <t>MOBA</t>
  </si>
  <si>
    <t>KAJOLA</t>
  </si>
  <si>
    <t>OYE</t>
  </si>
  <si>
    <t>LAGELU</t>
  </si>
  <si>
    <t>EKITI TOTAL</t>
  </si>
  <si>
    <t>OGBOMOSHO NORTH</t>
  </si>
  <si>
    <t>AGWU</t>
  </si>
  <si>
    <t>OGBOMOSHO SOUTH</t>
  </si>
  <si>
    <t>ANINRI</t>
  </si>
  <si>
    <t>OGO-OLUWA</t>
  </si>
  <si>
    <t>ENUGU EAST</t>
  </si>
  <si>
    <t>OLUYOLE</t>
  </si>
  <si>
    <t>ENUGU NORTH</t>
  </si>
  <si>
    <t>ONA-ARA</t>
  </si>
  <si>
    <t>ENUGU SOUTH</t>
  </si>
  <si>
    <t>ORELOPE</t>
  </si>
  <si>
    <t>EZEAGU</t>
  </si>
  <si>
    <t>ORI IRE</t>
  </si>
  <si>
    <t>IGBO ETITI</t>
  </si>
  <si>
    <t>OYO EAST</t>
  </si>
  <si>
    <t>IGBO EZE NORTH</t>
  </si>
  <si>
    <t>OYO WEST</t>
  </si>
  <si>
    <t>IGBO EZE SOUTH</t>
  </si>
  <si>
    <t>SAKI EAST</t>
  </si>
  <si>
    <t>ISI UZO</t>
  </si>
  <si>
    <t>IFEDAPO</t>
  </si>
  <si>
    <t>NKANU EAST</t>
  </si>
  <si>
    <t>OYO TOTAL</t>
  </si>
  <si>
    <t>NKANU WEST</t>
  </si>
  <si>
    <t>BARKIN LADI</t>
  </si>
  <si>
    <t>NSUKKA</t>
  </si>
  <si>
    <t>OJI RIVER</t>
  </si>
  <si>
    <t>BOKKOS</t>
  </si>
  <si>
    <t>UDENU</t>
  </si>
  <si>
    <t>JOS EAST</t>
  </si>
  <si>
    <t>UDI</t>
  </si>
  <si>
    <t>JOS NORTH</t>
  </si>
  <si>
    <t>UZO UWANI</t>
  </si>
  <si>
    <t>JOS SOUTH</t>
  </si>
  <si>
    <t>ENUGU TOTAL</t>
  </si>
  <si>
    <t>KANAM</t>
  </si>
  <si>
    <t xml:space="preserve">GOMBE </t>
  </si>
  <si>
    <t>AKKO</t>
  </si>
  <si>
    <t>KANKE</t>
  </si>
  <si>
    <t>BALANGA</t>
  </si>
  <si>
    <t>LANGTANG NORTH</t>
  </si>
  <si>
    <t>BILLIRI</t>
  </si>
  <si>
    <t>LANGTANG SOUTH</t>
  </si>
  <si>
    <t>DUKKU</t>
  </si>
  <si>
    <t>MANGU</t>
  </si>
  <si>
    <t>FUNAKAYE</t>
  </si>
  <si>
    <t>MIKANG</t>
  </si>
  <si>
    <t>PANKSHIN</t>
  </si>
  <si>
    <t>KALTUNGO</t>
  </si>
  <si>
    <t>QUAN-PAN</t>
  </si>
  <si>
    <t>KWAMI</t>
  </si>
  <si>
    <t>RIYOM</t>
  </si>
  <si>
    <t>NAFADA</t>
  </si>
  <si>
    <t>SHENDAM</t>
  </si>
  <si>
    <t>SHOMGOM</t>
  </si>
  <si>
    <t>WASE</t>
  </si>
  <si>
    <t>YAMALTU/DEBA</t>
  </si>
  <si>
    <t>PLATEAU TOTAL</t>
  </si>
  <si>
    <t>GOMBE TOTAL</t>
  </si>
  <si>
    <t>AHOADA</t>
  </si>
  <si>
    <t xml:space="preserve">IMO </t>
  </si>
  <si>
    <t>ABOH MBAISE</t>
  </si>
  <si>
    <t>AHOADA WEST</t>
  </si>
  <si>
    <t>AHIAZU MBAISE</t>
  </si>
  <si>
    <t>AKUKUTORU</t>
  </si>
  <si>
    <t>EHIME MBANO</t>
  </si>
  <si>
    <t>ANDONI</t>
  </si>
  <si>
    <t>EZINIHITTE MBAISE</t>
  </si>
  <si>
    <t>ASARITORU</t>
  </si>
  <si>
    <t>IDEATO NORTH</t>
  </si>
  <si>
    <t>BONNY</t>
  </si>
  <si>
    <t>IDEATO SOUTH</t>
  </si>
  <si>
    <t>DEGEMA</t>
  </si>
  <si>
    <t>IHITTE UBOMA</t>
  </si>
  <si>
    <t>ELEME</t>
  </si>
  <si>
    <t>IKEDURU</t>
  </si>
  <si>
    <t>EMOHUA</t>
  </si>
  <si>
    <t>ISIALA MBANO</t>
  </si>
  <si>
    <t>ETCHE</t>
  </si>
  <si>
    <t>ISU</t>
  </si>
  <si>
    <t>GONAKA</t>
  </si>
  <si>
    <t>MBAITOLI</t>
  </si>
  <si>
    <t>IKWERRE</t>
  </si>
  <si>
    <t>NGOR/OKPALA</t>
  </si>
  <si>
    <t>KHANA</t>
  </si>
  <si>
    <t>NJABA</t>
  </si>
  <si>
    <t>OBIO/AKPOR</t>
  </si>
  <si>
    <t>NKWANGELE</t>
  </si>
  <si>
    <t>OBUA/ODUAL</t>
  </si>
  <si>
    <t>NKWERRE</t>
  </si>
  <si>
    <t>OGBA/EGBEMA/NDONI</t>
  </si>
  <si>
    <t>OBOWO</t>
  </si>
  <si>
    <t>OGU/BOLO</t>
  </si>
  <si>
    <t>OGUTA</t>
  </si>
  <si>
    <t>OKRIKA</t>
  </si>
  <si>
    <t>OHAJI/EGBEMA</t>
  </si>
  <si>
    <t>OMUMMA</t>
  </si>
  <si>
    <t>OKIGWE</t>
  </si>
  <si>
    <t>OPOBO/NKORO</t>
  </si>
  <si>
    <t>ONUIMO</t>
  </si>
  <si>
    <t>OYIGBO</t>
  </si>
  <si>
    <t>ORLU</t>
  </si>
  <si>
    <t>PORT HARCOURT</t>
  </si>
  <si>
    <t>ORSU</t>
  </si>
  <si>
    <t>TAI</t>
  </si>
  <si>
    <t>ORU</t>
  </si>
  <si>
    <t>RIVERS TOTAL</t>
  </si>
  <si>
    <t>ORU WEST</t>
  </si>
  <si>
    <t>BINJI</t>
  </si>
  <si>
    <t>OWERRI MUNICIPAL</t>
  </si>
  <si>
    <t>BODINGA</t>
  </si>
  <si>
    <t>OWERRI NORTH</t>
  </si>
  <si>
    <t>DANGE-SHUNI</t>
  </si>
  <si>
    <t>OWERRI WEST</t>
  </si>
  <si>
    <t>GADA</t>
  </si>
  <si>
    <t>IMO TOTAL</t>
  </si>
  <si>
    <t>GORONYO</t>
  </si>
  <si>
    <t xml:space="preserve">JIGAWA </t>
  </si>
  <si>
    <t>AUYO</t>
  </si>
  <si>
    <t>GUDU</t>
  </si>
  <si>
    <t>BABURA</t>
  </si>
  <si>
    <t>GWADABAWA</t>
  </si>
  <si>
    <t>BIRNIN KUDU</t>
  </si>
  <si>
    <t>ILLELA</t>
  </si>
  <si>
    <t>BIRNIWA</t>
  </si>
  <si>
    <t>ISA</t>
  </si>
  <si>
    <t>GAGARAWA</t>
  </si>
  <si>
    <t>KEBBE</t>
  </si>
  <si>
    <t>BUJI</t>
  </si>
  <si>
    <t>KWARE</t>
  </si>
  <si>
    <t>DUTSE</t>
  </si>
  <si>
    <t>RABAH</t>
  </si>
  <si>
    <t>GARKI</t>
  </si>
  <si>
    <t>SABON BIRNI</t>
  </si>
  <si>
    <t>GUMEL</t>
  </si>
  <si>
    <t>SHAGARI</t>
  </si>
  <si>
    <t>GURI</t>
  </si>
  <si>
    <t>SILAME</t>
  </si>
  <si>
    <t>GWARAM</t>
  </si>
  <si>
    <t>SOKOTO NORTH</t>
  </si>
  <si>
    <t>GWIWA</t>
  </si>
  <si>
    <t>SOKOTO SOUTH</t>
  </si>
  <si>
    <t>HADEJIA</t>
  </si>
  <si>
    <t>TAMBUWAL</t>
  </si>
  <si>
    <t>JAHUN</t>
  </si>
  <si>
    <t>TANGAZA</t>
  </si>
  <si>
    <t>KAFIN HAUSA</t>
  </si>
  <si>
    <t>TURETA</t>
  </si>
  <si>
    <t>KAUGAMA</t>
  </si>
  <si>
    <t>WAMAKKO</t>
  </si>
  <si>
    <t>KAZAURE</t>
  </si>
  <si>
    <t>WURNO</t>
  </si>
  <si>
    <t>KIRI-KASAMMA</t>
  </si>
  <si>
    <t>YABO</t>
  </si>
  <si>
    <t>KIYAWA</t>
  </si>
  <si>
    <t>SOKOTO TOTAL</t>
  </si>
  <si>
    <t>MAIGATARI</t>
  </si>
  <si>
    <t>ARDO KOLA</t>
  </si>
  <si>
    <t>MALAM MADORI</t>
  </si>
  <si>
    <t>BALI</t>
  </si>
  <si>
    <t>MIGA</t>
  </si>
  <si>
    <t>DONGA</t>
  </si>
  <si>
    <t>RINGIM</t>
  </si>
  <si>
    <t>GASHAKA</t>
  </si>
  <si>
    <t>RONI</t>
  </si>
  <si>
    <t>GASSOL</t>
  </si>
  <si>
    <t>SULE TAKARKAR</t>
  </si>
  <si>
    <t>IBI</t>
  </si>
  <si>
    <t>TAURA</t>
  </si>
  <si>
    <t>JALINGO</t>
  </si>
  <si>
    <t>YANKWASHI</t>
  </si>
  <si>
    <t>KARIM LAMIDU</t>
  </si>
  <si>
    <t>JIGAWA TOTAL</t>
  </si>
  <si>
    <t>KURMI</t>
  </si>
  <si>
    <t xml:space="preserve">KADUNA </t>
  </si>
  <si>
    <t>BIRNIN GWARI</t>
  </si>
  <si>
    <t>LAU</t>
  </si>
  <si>
    <t>CHIKUN</t>
  </si>
  <si>
    <t>SARDAUNA</t>
  </si>
  <si>
    <t>GIWA</t>
  </si>
  <si>
    <t>TAKUM</t>
  </si>
  <si>
    <t>KAJURU</t>
  </si>
  <si>
    <t>USSA</t>
  </si>
  <si>
    <t>IGABI</t>
  </si>
  <si>
    <t>WUKARI</t>
  </si>
  <si>
    <t>IKARA</t>
  </si>
  <si>
    <t>YORRO</t>
  </si>
  <si>
    <t>JABA</t>
  </si>
  <si>
    <t>ZING</t>
  </si>
  <si>
    <t>JEMA'A</t>
  </si>
  <si>
    <t>TARABA TOTAL</t>
  </si>
  <si>
    <t>KACHIA</t>
  </si>
  <si>
    <t>BADE</t>
  </si>
  <si>
    <t>KADUNA NORTH</t>
  </si>
  <si>
    <t>BURSARI</t>
  </si>
  <si>
    <t>KADUNA SOUTH</t>
  </si>
  <si>
    <t>DAMATURU</t>
  </si>
  <si>
    <t>KAGARKO</t>
  </si>
  <si>
    <t>FIKA</t>
  </si>
  <si>
    <t>KAURA</t>
  </si>
  <si>
    <t>FUNE</t>
  </si>
  <si>
    <t>KAURU</t>
  </si>
  <si>
    <t>GEIDAM</t>
  </si>
  <si>
    <t>KUBAU</t>
  </si>
  <si>
    <t>GUJBA</t>
  </si>
  <si>
    <t>KUDAN</t>
  </si>
  <si>
    <t>GULAMI</t>
  </si>
  <si>
    <t>LERE</t>
  </si>
  <si>
    <t>JAKUSKO</t>
  </si>
  <si>
    <t>MAKARFI</t>
  </si>
  <si>
    <t>KARASUWA</t>
  </si>
  <si>
    <t>SABON GARI</t>
  </si>
  <si>
    <t>MACHINA</t>
  </si>
  <si>
    <t>SANGA</t>
  </si>
  <si>
    <t>NANGERE</t>
  </si>
  <si>
    <t>SOBA</t>
  </si>
  <si>
    <t>NGURU</t>
  </si>
  <si>
    <t>ZANGON KATAF</t>
  </si>
  <si>
    <t>POTISKUM</t>
  </si>
  <si>
    <t>ZARIA</t>
  </si>
  <si>
    <t>TARMUA</t>
  </si>
  <si>
    <t>KADUNA TOTAL</t>
  </si>
  <si>
    <t>YUNUSARI</t>
  </si>
  <si>
    <t>AJINGI</t>
  </si>
  <si>
    <t>YUSUFARI</t>
  </si>
  <si>
    <t>ALBASU</t>
  </si>
  <si>
    <t>BAGWAI</t>
  </si>
  <si>
    <t>ANKA</t>
  </si>
  <si>
    <t>BEBEJI</t>
  </si>
  <si>
    <t>BAKURA</t>
  </si>
  <si>
    <t>BICHI</t>
  </si>
  <si>
    <t>BUKKUYUM</t>
  </si>
  <si>
    <t>BUNKURE</t>
  </si>
  <si>
    <t>BUNGUDU</t>
  </si>
  <si>
    <t>DALA</t>
  </si>
  <si>
    <t>GUMMI</t>
  </si>
  <si>
    <t>DANBATTA</t>
  </si>
  <si>
    <t>GUSAU</t>
  </si>
  <si>
    <t>DAWAKIN KUDU</t>
  </si>
  <si>
    <t>KAURA NAMODA</t>
  </si>
  <si>
    <t>DAWAKIN TOFA</t>
  </si>
  <si>
    <t>DOGUWA</t>
  </si>
  <si>
    <t>MARADUN</t>
  </si>
  <si>
    <t>FAGGE</t>
  </si>
  <si>
    <t>MARU</t>
  </si>
  <si>
    <t>GABASAWA</t>
  </si>
  <si>
    <t>SHINKAFI</t>
  </si>
  <si>
    <t>GARKO</t>
  </si>
  <si>
    <t>TALATA MAFARA</t>
  </si>
  <si>
    <t>GARUN MALLAM</t>
  </si>
  <si>
    <t>TSAFE</t>
  </si>
  <si>
    <t>GAYA</t>
  </si>
  <si>
    <t>ZURMI</t>
  </si>
  <si>
    <t>GEZAWA</t>
  </si>
  <si>
    <t>ZAMFARA TOTAL</t>
  </si>
  <si>
    <t>GWALE</t>
  </si>
  <si>
    <t>FCT-ABUJA</t>
  </si>
  <si>
    <t>ABAJI</t>
  </si>
  <si>
    <t>GWARZO</t>
  </si>
  <si>
    <t>ABUJA MUNICIPAL</t>
  </si>
  <si>
    <t>KABO</t>
  </si>
  <si>
    <t>BWARI</t>
  </si>
  <si>
    <t>KANO MUNICIPAL</t>
  </si>
  <si>
    <t>GWAGWALADA</t>
  </si>
  <si>
    <t>KARAYE</t>
  </si>
  <si>
    <t>KUJE</t>
  </si>
  <si>
    <t>KIBIYA</t>
  </si>
  <si>
    <t>KWALI</t>
  </si>
  <si>
    <t>KIRU</t>
  </si>
  <si>
    <t>FCT-ABUJA TOTAL</t>
  </si>
  <si>
    <t>KUMBOTSO</t>
  </si>
  <si>
    <t>Grand Total</t>
  </si>
  <si>
    <t>Details of Distribution of Ecology Revenue Allocation to States by Federation Account Allocation Committee for the month of   July, 2022 Shared in August, 2022</t>
  </si>
  <si>
    <t>S/N</t>
  </si>
  <si>
    <t>Gross Statutory Allocation (Ecology)</t>
  </si>
  <si>
    <t>Summary of Distribution of Revenue Allocation to Local Government Councils by Federation Account Allocation Committee for the month of July, 2022 Shared in August, 2022</t>
  </si>
  <si>
    <t>7= 5 - 6</t>
  </si>
  <si>
    <t>9 = 3+4+7+8</t>
  </si>
  <si>
    <t>Total Ecology Fund</t>
  </si>
  <si>
    <t>Net Allocation</t>
  </si>
  <si>
    <t xml:space="preserve"> Distribution of Ecology to Local Government Councils by Federation Account Allocation Committee for the month of July, 2022 Shared in August, 2022</t>
  </si>
  <si>
    <t>S/NO</t>
  </si>
  <si>
    <t>STATE</t>
  </si>
  <si>
    <t>LOCAL GOVERNMENTS</t>
  </si>
  <si>
    <t>STATUTORY REVENUE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</si>
</sst>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5" formatCode="_-* #,##0.00_-;\-* #,##0.00_-;_-* &quot;-&quot;??_-;_-@_-"/>
    <numFmt numFmtId="166" formatCode="&quot; &quot;#,##0.00;\-&quot; &quot;#,##0.00"/>
    <numFmt numFmtId="167" formatCode="#,##0.00_ ;\-#,##0.00\ "/>
  </numFmts>
  <fonts count="28">
    <font>
      <sz val="10"/>
      <name val="Arial"/>
      <charset val="134"/>
    </font>
    <font>
      <sz val="14"/>
      <name val="Times New Roman"/>
      <charset val="134"/>
    </font>
    <font>
      <b/>
      <sz val="14"/>
      <name val="Times New Roman"/>
      <charset val="134"/>
    </font>
    <font>
      <b/>
      <sz val="14"/>
      <name val="Calibri"/>
      <charset val="134"/>
    </font>
    <font>
      <b/>
      <sz val="12"/>
      <name val="Times New Roman"/>
      <charset val="134"/>
    </font>
    <font>
      <b/>
      <sz val="12"/>
      <color indexed="8"/>
      <name val="Times New Roman"/>
      <charset val="134"/>
    </font>
    <font>
      <b/>
      <sz val="10"/>
      <name val="Arial"/>
      <charset val="134"/>
    </font>
    <font>
      <sz val="14"/>
      <color indexed="8"/>
      <name val="Times New Roman"/>
      <charset val="134"/>
    </font>
    <font>
      <b/>
      <sz val="13"/>
      <name val="Times New Roman"/>
      <charset val="134"/>
    </font>
    <font>
      <b/>
      <sz val="20"/>
      <name val="Arial"/>
      <charset val="134"/>
    </font>
    <font>
      <b/>
      <u/>
      <sz val="16"/>
      <name val="Arial"/>
      <charset val="134"/>
    </font>
    <font>
      <b/>
      <sz val="12"/>
      <name val="Arial"/>
      <charset val="134"/>
    </font>
    <font>
      <sz val="11"/>
      <color indexed="8"/>
      <name val="Times New Roman"/>
      <charset val="134"/>
    </font>
    <font>
      <b/>
      <u val="singleAccounting"/>
      <sz val="10"/>
      <name val="Arial"/>
      <charset val="134"/>
    </font>
    <font>
      <sz val="10"/>
      <name val="Times New Roman"/>
      <charset val="134"/>
    </font>
    <font>
      <sz val="18"/>
      <name val="Times New Roman"/>
      <charset val="134"/>
    </font>
    <font>
      <b/>
      <sz val="20"/>
      <name val="Times New Roman"/>
      <charset val="134"/>
    </font>
    <font>
      <b/>
      <u/>
      <sz val="14"/>
      <name val="Times New Roman"/>
      <charset val="134"/>
    </font>
    <font>
      <b/>
      <sz val="16"/>
      <name val="Times New Roman"/>
      <charset val="134"/>
    </font>
    <font>
      <sz val="12"/>
      <name val="Times New Roman"/>
      <charset val="134"/>
    </font>
    <font>
      <b/>
      <sz val="10"/>
      <name val="Times New Roman"/>
      <charset val="134"/>
    </font>
    <font>
      <sz val="16"/>
      <name val="Times New Roman"/>
      <charset val="134"/>
    </font>
    <font>
      <b/>
      <sz val="18"/>
      <name val="Times New Roman"/>
      <charset val="134"/>
    </font>
    <font>
      <b/>
      <sz val="22"/>
      <name val="Times New Roman"/>
      <charset val="134"/>
    </font>
    <font>
      <b/>
      <sz val="18"/>
      <name val="Arial"/>
      <charset val="134"/>
    </font>
    <font>
      <sz val="10"/>
      <color indexed="8"/>
      <name val="Arial"/>
      <charset val="134"/>
    </font>
    <font>
      <b/>
      <u/>
      <sz val="16"/>
      <name val="Times New Roman"/>
      <charset val="134"/>
    </font>
    <font>
      <sz val="10"/>
      <name val="Arial"/>
      <charset val="13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0"/>
      </patternFill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ck">
        <color auto="1"/>
      </bottom>
      <diagonal/>
    </border>
  </borders>
  <cellStyleXfs count="6">
    <xf numFmtId="0" fontId="0" fillId="0" borderId="0"/>
    <xf numFmtId="43" fontId="27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</cellStyleXfs>
  <cellXfs count="172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1" fillId="0" borderId="1" xfId="0" applyFont="1" applyBorder="1"/>
    <xf numFmtId="0" fontId="3" fillId="0" borderId="1" xfId="0" applyFont="1" applyBorder="1" applyAlignment="1">
      <alignment horizontal="center"/>
    </xf>
    <xf numFmtId="43" fontId="1" fillId="0" borderId="1" xfId="1" applyFont="1" applyBorder="1"/>
    <xf numFmtId="43" fontId="2" fillId="0" borderId="1" xfId="1" applyFont="1" applyBorder="1"/>
    <xf numFmtId="0" fontId="4" fillId="0" borderId="1" xfId="0" applyFont="1" applyBorder="1" applyAlignment="1">
      <alignment horizontal="center" wrapText="1"/>
    </xf>
    <xf numFmtId="0" fontId="2" fillId="2" borderId="1" xfId="2" applyFont="1" applyFill="1" applyBorder="1" applyAlignment="1">
      <alignment horizontal="center"/>
    </xf>
    <xf numFmtId="43" fontId="4" fillId="0" borderId="1" xfId="1" applyFont="1" applyBorder="1" applyAlignment="1">
      <alignment horizontal="center" wrapText="1"/>
    </xf>
    <xf numFmtId="43" fontId="4" fillId="0" borderId="1" xfId="1" applyFont="1" applyBorder="1" applyAlignment="1">
      <alignment horizontal="center"/>
    </xf>
    <xf numFmtId="0" fontId="5" fillId="2" borderId="1" xfId="5" applyFont="1" applyFill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5" fillId="2" borderId="2" xfId="5" applyFont="1" applyFill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7" fillId="0" borderId="1" xfId="2" applyFont="1" applyBorder="1" applyAlignment="1">
      <alignment horizontal="right" wrapText="1"/>
    </xf>
    <xf numFmtId="0" fontId="7" fillId="0" borderId="1" xfId="2" applyFont="1" applyBorder="1" applyAlignment="1">
      <alignment wrapText="1"/>
    </xf>
    <xf numFmtId="43" fontId="7" fillId="0" borderId="1" xfId="1" applyFont="1" applyBorder="1" applyAlignment="1">
      <alignment wrapText="1"/>
    </xf>
    <xf numFmtId="43" fontId="7" fillId="0" borderId="1" xfId="1" applyFont="1" applyFill="1" applyBorder="1" applyAlignment="1" applyProtection="1">
      <alignment horizontal="right" wrapText="1"/>
    </xf>
    <xf numFmtId="166" fontId="7" fillId="0" borderId="1" xfId="2" applyNumberFormat="1" applyFont="1" applyBorder="1" applyAlignment="1">
      <alignment horizontal="right" wrapText="1"/>
    </xf>
    <xf numFmtId="43" fontId="2" fillId="0" borderId="1" xfId="0" applyNumberFormat="1" applyFont="1" applyBorder="1"/>
    <xf numFmtId="165" fontId="1" fillId="0" borderId="0" xfId="0" applyNumberFormat="1" applyFont="1"/>
    <xf numFmtId="167" fontId="1" fillId="0" borderId="1" xfId="0" applyNumberFormat="1" applyFont="1" applyBorder="1"/>
    <xf numFmtId="43" fontId="1" fillId="0" borderId="0" xfId="0" applyNumberFormat="1" applyFont="1"/>
    <xf numFmtId="0" fontId="8" fillId="0" borderId="1" xfId="0" applyFont="1" applyBorder="1"/>
    <xf numFmtId="43" fontId="8" fillId="0" borderId="1" xfId="1" applyFont="1" applyBorder="1" applyAlignment="1">
      <alignment wrapText="1"/>
    </xf>
    <xf numFmtId="0" fontId="7" fillId="2" borderId="1" xfId="4" applyFont="1" applyFill="1" applyBorder="1" applyAlignment="1">
      <alignment horizontal="center"/>
    </xf>
    <xf numFmtId="0" fontId="7" fillId="0" borderId="1" xfId="4" applyFont="1" applyBorder="1" applyAlignment="1">
      <alignment horizontal="right" wrapText="1"/>
    </xf>
    <xf numFmtId="0" fontId="7" fillId="0" borderId="1" xfId="4" applyFont="1" applyBorder="1" applyAlignment="1">
      <alignment wrapText="1"/>
    </xf>
    <xf numFmtId="43" fontId="7" fillId="0" borderId="1" xfId="1" applyFont="1" applyFill="1" applyBorder="1" applyAlignment="1">
      <alignment horizontal="right" wrapText="1"/>
    </xf>
    <xf numFmtId="166" fontId="2" fillId="0" borderId="1" xfId="0" applyNumberFormat="1" applyFont="1" applyBorder="1"/>
    <xf numFmtId="0" fontId="0" fillId="0" borderId="0" xfId="0" applyAlignment="1">
      <alignment vertical="center"/>
    </xf>
    <xf numFmtId="0" fontId="6" fillId="0" borderId="1" xfId="0" applyFont="1" applyBorder="1"/>
    <xf numFmtId="0" fontId="6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vertic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43" fontId="0" fillId="0" borderId="1" xfId="1" applyFont="1" applyBorder="1"/>
    <xf numFmtId="43" fontId="6" fillId="0" borderId="1" xfId="1" applyFont="1" applyBorder="1"/>
    <xf numFmtId="0" fontId="0" fillId="0" borderId="5" xfId="0" applyBorder="1"/>
    <xf numFmtId="0" fontId="0" fillId="0" borderId="7" xfId="0" applyBorder="1"/>
    <xf numFmtId="0" fontId="0" fillId="3" borderId="0" xfId="0" applyFill="1"/>
    <xf numFmtId="43" fontId="0" fillId="0" borderId="1" xfId="0" applyNumberFormat="1" applyBorder="1"/>
    <xf numFmtId="1" fontId="0" fillId="0" borderId="1" xfId="0" applyNumberFormat="1" applyBorder="1"/>
    <xf numFmtId="0" fontId="6" fillId="0" borderId="7" xfId="0" applyFont="1" applyBorder="1" applyAlignment="1">
      <alignment vertical="center"/>
    </xf>
    <xf numFmtId="43" fontId="0" fillId="0" borderId="1" xfId="1" applyFont="1" applyBorder="1" applyAlignment="1">
      <alignment wrapText="1"/>
    </xf>
    <xf numFmtId="1" fontId="0" fillId="0" borderId="2" xfId="0" applyNumberFormat="1" applyBorder="1"/>
    <xf numFmtId="43" fontId="0" fillId="0" borderId="4" xfId="1" applyFont="1" applyBorder="1"/>
    <xf numFmtId="43" fontId="12" fillId="0" borderId="1" xfId="3" applyNumberFormat="1" applyFont="1" applyBorder="1" applyAlignment="1">
      <alignment horizontal="right" wrapText="1"/>
    </xf>
    <xf numFmtId="43" fontId="0" fillId="0" borderId="1" xfId="1" applyFont="1" applyBorder="1" applyAlignment="1">
      <alignment horizontal="left" wrapText="1"/>
    </xf>
    <xf numFmtId="166" fontId="12" fillId="0" borderId="1" xfId="3" applyNumberFormat="1" applyFont="1" applyBorder="1" applyAlignment="1">
      <alignment horizontal="right" wrapText="1"/>
    </xf>
    <xf numFmtId="0" fontId="0" fillId="4" borderId="1" xfId="0" applyFill="1" applyBorder="1"/>
    <xf numFmtId="43" fontId="0" fillId="4" borderId="1" xfId="0" applyNumberFormat="1" applyFill="1" applyBorder="1"/>
    <xf numFmtId="43" fontId="0" fillId="0" borderId="9" xfId="1" applyFont="1" applyFill="1" applyBorder="1"/>
    <xf numFmtId="165" fontId="13" fillId="0" borderId="0" xfId="0" applyNumberFormat="1" applyFont="1"/>
    <xf numFmtId="0" fontId="0" fillId="4" borderId="0" xfId="0" applyFill="1"/>
    <xf numFmtId="43" fontId="0" fillId="4" borderId="0" xfId="0" applyNumberFormat="1" applyFill="1"/>
    <xf numFmtId="0" fontId="6" fillId="3" borderId="0" xfId="0" applyFont="1" applyFill="1"/>
    <xf numFmtId="43" fontId="6" fillId="0" borderId="5" xfId="1" applyFont="1" applyBorder="1"/>
    <xf numFmtId="43" fontId="6" fillId="0" borderId="10" xfId="1" applyFont="1" applyBorder="1"/>
    <xf numFmtId="43" fontId="0" fillId="0" borderId="0" xfId="0" applyNumberFormat="1"/>
    <xf numFmtId="43" fontId="6" fillId="0" borderId="1" xfId="0" applyNumberFormat="1" applyFont="1" applyBorder="1"/>
    <xf numFmtId="43" fontId="0" fillId="0" borderId="5" xfId="0" applyNumberFormat="1" applyBorder="1"/>
    <xf numFmtId="43" fontId="0" fillId="0" borderId="0" xfId="1" applyFont="1"/>
    <xf numFmtId="43" fontId="6" fillId="0" borderId="0" xfId="0" applyNumberFormat="1" applyFont="1"/>
    <xf numFmtId="43" fontId="0" fillId="0" borderId="0" xfId="1" applyFont="1" applyBorder="1"/>
    <xf numFmtId="165" fontId="0" fillId="0" borderId="0" xfId="0" applyNumberFormat="1"/>
    <xf numFmtId="0" fontId="14" fillId="0" borderId="0" xfId="0" applyFont="1"/>
    <xf numFmtId="0" fontId="19" fillId="0" borderId="1" xfId="0" applyFont="1" applyBorder="1"/>
    <xf numFmtId="39" fontId="19" fillId="0" borderId="1" xfId="0" applyNumberFormat="1" applyFont="1" applyBorder="1"/>
    <xf numFmtId="37" fontId="19" fillId="0" borderId="1" xfId="0" applyNumberFormat="1" applyFont="1" applyBorder="1" applyAlignment="1">
      <alignment horizontal="center"/>
    </xf>
    <xf numFmtId="43" fontId="19" fillId="0" borderId="1" xfId="1" applyFont="1" applyBorder="1"/>
    <xf numFmtId="43" fontId="19" fillId="0" borderId="1" xfId="0" applyNumberFormat="1" applyFont="1" applyBorder="1"/>
    <xf numFmtId="0" fontId="19" fillId="0" borderId="1" xfId="0" applyFont="1" applyBorder="1" applyAlignment="1">
      <alignment horizontal="center"/>
    </xf>
    <xf numFmtId="0" fontId="18" fillId="0" borderId="2" xfId="0" applyFont="1" applyBorder="1" applyAlignment="1">
      <alignment horizontal="center"/>
    </xf>
    <xf numFmtId="43" fontId="4" fillId="0" borderId="11" xfId="1" applyFont="1" applyBorder="1"/>
    <xf numFmtId="0" fontId="14" fillId="4" borderId="0" xfId="0" applyFont="1" applyFill="1" applyAlignment="1">
      <alignment horizontal="right"/>
    </xf>
    <xf numFmtId="0" fontId="14" fillId="4" borderId="0" xfId="0" applyFont="1" applyFill="1"/>
    <xf numFmtId="43" fontId="14" fillId="4" borderId="0" xfId="0" applyNumberFormat="1" applyFont="1" applyFill="1"/>
    <xf numFmtId="165" fontId="14" fillId="4" borderId="0" xfId="0" applyNumberFormat="1" applyFont="1" applyFill="1"/>
    <xf numFmtId="0" fontId="20" fillId="0" borderId="0" xfId="0" applyFont="1"/>
    <xf numFmtId="165" fontId="14" fillId="0" borderId="0" xfId="0" applyNumberFormat="1" applyFont="1"/>
    <xf numFmtId="0" fontId="21" fillId="0" borderId="0" xfId="0" applyFont="1"/>
    <xf numFmtId="43" fontId="4" fillId="0" borderId="4" xfId="0" applyNumberFormat="1" applyFont="1" applyBorder="1"/>
    <xf numFmtId="43" fontId="19" fillId="0" borderId="4" xfId="0" applyNumberFormat="1" applyFont="1" applyBorder="1"/>
    <xf numFmtId="43" fontId="20" fillId="4" borderId="6" xfId="1" applyFont="1" applyFill="1" applyBorder="1"/>
    <xf numFmtId="43" fontId="14" fillId="0" borderId="0" xfId="0" applyNumberFormat="1" applyFont="1"/>
    <xf numFmtId="43" fontId="14" fillId="0" borderId="0" xfId="1" applyFont="1"/>
    <xf numFmtId="43" fontId="19" fillId="0" borderId="4" xfId="1" applyFont="1" applyBorder="1"/>
    <xf numFmtId="0" fontId="22" fillId="0" borderId="1" xfId="0" applyFont="1" applyBorder="1" applyAlignment="1">
      <alignment horizontal="center"/>
    </xf>
    <xf numFmtId="0" fontId="18" fillId="0" borderId="1" xfId="0" applyFont="1" applyBorder="1" applyAlignment="1">
      <alignment horizontal="center" wrapText="1"/>
    </xf>
    <xf numFmtId="0" fontId="22" fillId="0" borderId="7" xfId="0" applyFont="1" applyBorder="1"/>
    <xf numFmtId="0" fontId="22" fillId="0" borderId="7" xfId="0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43" fontId="21" fillId="0" borderId="0" xfId="1" applyFont="1"/>
    <xf numFmtId="0" fontId="21" fillId="0" borderId="1" xfId="0" applyFont="1" applyBorder="1"/>
    <xf numFmtId="43" fontId="18" fillId="0" borderId="1" xfId="1" applyFont="1" applyBorder="1" applyAlignment="1"/>
    <xf numFmtId="43" fontId="18" fillId="0" borderId="2" xfId="1" applyFont="1" applyBorder="1" applyAlignment="1"/>
    <xf numFmtId="43" fontId="21" fillId="0" borderId="0" xfId="0" applyNumberFormat="1" applyFont="1"/>
    <xf numFmtId="0" fontId="21" fillId="0" borderId="1" xfId="0" applyFont="1" applyBorder="1" applyAlignment="1">
      <alignment wrapText="1"/>
    </xf>
    <xf numFmtId="43" fontId="18" fillId="0" borderId="1" xfId="1" applyFont="1" applyBorder="1" applyAlignment="1">
      <alignment horizontal="center"/>
    </xf>
    <xf numFmtId="0" fontId="18" fillId="0" borderId="0" xfId="0" applyFont="1" applyAlignment="1">
      <alignment horizontal="center" wrapText="1"/>
    </xf>
    <xf numFmtId="43" fontId="18" fillId="0" borderId="0" xfId="1" applyFont="1" applyBorder="1" applyAlignment="1">
      <alignment horizontal="center"/>
    </xf>
    <xf numFmtId="0" fontId="18" fillId="0" borderId="6" xfId="0" applyFont="1" applyBorder="1" applyAlignment="1">
      <alignment horizontal="center" wrapText="1"/>
    </xf>
    <xf numFmtId="43" fontId="21" fillId="0" borderId="7" xfId="1" applyFont="1" applyBorder="1"/>
    <xf numFmtId="43" fontId="18" fillId="0" borderId="14" xfId="1" applyFont="1" applyBorder="1"/>
    <xf numFmtId="0" fontId="18" fillId="0" borderId="0" xfId="0" applyFont="1"/>
    <xf numFmtId="165" fontId="21" fillId="0" borderId="0" xfId="0" applyNumberFormat="1" applyFont="1"/>
    <xf numFmtId="43" fontId="18" fillId="0" borderId="0" xfId="1" applyFont="1"/>
    <xf numFmtId="0" fontId="22" fillId="0" borderId="0" xfId="0" applyFont="1"/>
    <xf numFmtId="0" fontId="0" fillId="5" borderId="0" xfId="0" applyFill="1" applyProtection="1">
      <protection locked="0"/>
    </xf>
    <xf numFmtId="17" fontId="24" fillId="5" borderId="0" xfId="0" applyNumberFormat="1" applyFont="1" applyFill="1"/>
    <xf numFmtId="2" fontId="0" fillId="0" borderId="0" xfId="0" applyNumberFormat="1"/>
    <xf numFmtId="17" fontId="0" fillId="0" borderId="0" xfId="0" applyNumberFormat="1"/>
    <xf numFmtId="0" fontId="22" fillId="0" borderId="1" xfId="0" quotePrefix="1" applyFont="1" applyBorder="1" applyAlignment="1">
      <alignment horizontal="center"/>
    </xf>
    <xf numFmtId="0" fontId="4" fillId="0" borderId="1" xfId="0" quotePrefix="1" applyFont="1" applyBorder="1" applyAlignment="1">
      <alignment horizontal="center"/>
    </xf>
    <xf numFmtId="0" fontId="22" fillId="0" borderId="1" xfId="0" applyFont="1" applyBorder="1" applyAlignment="1">
      <alignment horizontal="center"/>
    </xf>
    <xf numFmtId="0" fontId="22" fillId="0" borderId="2" xfId="0" applyFont="1" applyBorder="1" applyAlignment="1">
      <alignment horizontal="center"/>
    </xf>
    <xf numFmtId="0" fontId="22" fillId="0" borderId="3" xfId="0" applyFont="1" applyBorder="1" applyAlignment="1">
      <alignment horizontal="center"/>
    </xf>
    <xf numFmtId="0" fontId="22" fillId="0" borderId="4" xfId="0" applyFont="1" applyBorder="1" applyAlignment="1">
      <alignment horizontal="center"/>
    </xf>
    <xf numFmtId="0" fontId="18" fillId="0" borderId="1" xfId="0" applyFont="1" applyBorder="1" applyAlignment="1">
      <alignment horizontal="center" wrapText="1"/>
    </xf>
    <xf numFmtId="0" fontId="23" fillId="0" borderId="12" xfId="0" applyFont="1" applyBorder="1" applyAlignment="1">
      <alignment horizontal="center" wrapText="1"/>
    </xf>
    <xf numFmtId="0" fontId="23" fillId="0" borderId="13" xfId="0" applyFont="1" applyBorder="1" applyAlignment="1">
      <alignment horizontal="center" wrapText="1"/>
    </xf>
    <xf numFmtId="0" fontId="18" fillId="0" borderId="12" xfId="0" applyFont="1" applyBorder="1" applyAlignment="1">
      <alignment horizontal="center"/>
    </xf>
    <xf numFmtId="0" fontId="18" fillId="0" borderId="13" xfId="0" applyFont="1" applyBorder="1" applyAlignment="1">
      <alignment horizontal="center"/>
    </xf>
    <xf numFmtId="0" fontId="21" fillId="0" borderId="0" xfId="0" applyFont="1" applyAlignment="1">
      <alignment horizontal="center"/>
    </xf>
    <xf numFmtId="0" fontId="18" fillId="0" borderId="0" xfId="0" applyFont="1" applyAlignment="1">
      <alignment horizontal="left" wrapText="1"/>
    </xf>
    <xf numFmtId="0" fontId="22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18" fillId="0" borderId="2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 wrapText="1"/>
    </xf>
    <xf numFmtId="0" fontId="4" fillId="0" borderId="7" xfId="0" applyFont="1" applyBorder="1" applyAlignment="1">
      <alignment horizont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 wrapText="1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4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</cellXfs>
  <cellStyles count="6">
    <cellStyle name="Comma" xfId="1" builtinId="3"/>
    <cellStyle name="Normal" xfId="0" builtinId="0"/>
    <cellStyle name="Normal_lgc eco dec 21" xfId="2" xr:uid="{00000000-0005-0000-0000-000022000000}"/>
    <cellStyle name="Normal_lgcs data" xfId="3" xr:uid="{00000000-0005-0000-0000-000025000000}"/>
    <cellStyle name="Normal_states eco dec 21" xfId="4" xr:uid="{00000000-0005-0000-0000-000032000000}"/>
    <cellStyle name="Normal_TOTALDATA_1" xfId="5" xr:uid="{00000000-0005-0000-0000-00003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9"/>
  <sheetViews>
    <sheetView workbookViewId="0">
      <selection activeCell="A20" sqref="A20"/>
    </sheetView>
  </sheetViews>
  <sheetFormatPr defaultColWidth="9" defaultRowHeight="13.2"/>
  <cols>
    <col min="2" max="2" width="23" customWidth="1"/>
    <col min="6" max="6" width="24.5546875" customWidth="1"/>
  </cols>
  <sheetData>
    <row r="1" spans="1:8" ht="23.1" customHeight="1">
      <c r="B1">
        <f ca="1">MONTH(NOW())</f>
        <v>11</v>
      </c>
      <c r="C1">
        <f ca="1">YEAR(NOW())</f>
        <v>2022</v>
      </c>
    </row>
    <row r="2" spans="1:8" ht="23.1" customHeight="1"/>
    <row r="3" spans="1:8" ht="23.1" customHeight="1">
      <c r="B3" t="s">
        <v>0</v>
      </c>
      <c r="F3" t="s">
        <v>1</v>
      </c>
    </row>
    <row r="4" spans="1:8" ht="23.1" customHeight="1">
      <c r="B4" t="s">
        <v>2</v>
      </c>
      <c r="C4" t="s">
        <v>3</v>
      </c>
      <c r="D4" t="s">
        <v>4</v>
      </c>
      <c r="F4" t="s">
        <v>2</v>
      </c>
      <c r="G4" t="s">
        <v>3</v>
      </c>
      <c r="H4" t="s">
        <v>4</v>
      </c>
    </row>
    <row r="5" spans="1:8" ht="23.1" customHeight="1">
      <c r="B5" s="113" t="e">
        <f>IF(G5=1,F5-1,F5)</f>
        <v>#REF!</v>
      </c>
      <c r="C5" s="113" t="e">
        <f>IF(G5=1,12,G5-1)</f>
        <v>#REF!</v>
      </c>
      <c r="F5" t="e">
        <f>YEAR(ACCTDATE)</f>
        <v>#REF!</v>
      </c>
      <c r="G5" t="e">
        <f>MONTH(ACCTDATE)</f>
        <v>#REF!</v>
      </c>
    </row>
    <row r="6" spans="1:8" ht="23.1" customHeight="1">
      <c r="B6" s="114" t="e">
        <f>LOOKUP(C5,A8:B19)</f>
        <v>#REF!</v>
      </c>
      <c r="F6" s="114" t="e">
        <f>IF(G5=1,LOOKUP(G5,E8:F19),LOOKUP(G5,A8:B19))</f>
        <v>#REF!</v>
      </c>
    </row>
    <row r="8" spans="1:8">
      <c r="A8">
        <v>1</v>
      </c>
      <c r="B8" s="115" t="e">
        <f>D8&amp;"-"&amp;RIGHT(B$5,2)</f>
        <v>#REF!</v>
      </c>
      <c r="D8" s="116" t="s">
        <v>5</v>
      </c>
      <c r="E8">
        <v>1</v>
      </c>
      <c r="F8" s="115" t="e">
        <f>D8&amp;"-"&amp;RIGHT(F$5,2)</f>
        <v>#REF!</v>
      </c>
    </row>
    <row r="9" spans="1:8">
      <c r="A9">
        <v>2</v>
      </c>
      <c r="B9" s="115" t="e">
        <f t="shared" ref="B9:B19" si="0">D9&amp;"-"&amp;RIGHT(B$5,2)</f>
        <v>#REF!</v>
      </c>
      <c r="D9" s="116" t="s">
        <v>6</v>
      </c>
      <c r="E9">
        <v>2</v>
      </c>
      <c r="F9" s="115" t="e">
        <f t="shared" ref="F9:F19" si="1">D9&amp;"-"&amp;RIGHT(F$5,2)</f>
        <v>#REF!</v>
      </c>
    </row>
    <row r="10" spans="1:8">
      <c r="A10">
        <v>3</v>
      </c>
      <c r="B10" s="115" t="e">
        <f t="shared" si="0"/>
        <v>#REF!</v>
      </c>
      <c r="D10" s="116" t="s">
        <v>7</v>
      </c>
      <c r="E10">
        <v>3</v>
      </c>
      <c r="F10" s="115" t="e">
        <f t="shared" si="1"/>
        <v>#REF!</v>
      </c>
    </row>
    <row r="11" spans="1:8">
      <c r="A11">
        <v>4</v>
      </c>
      <c r="B11" s="115" t="e">
        <f t="shared" si="0"/>
        <v>#REF!</v>
      </c>
      <c r="D11" s="116" t="s">
        <v>8</v>
      </c>
      <c r="E11">
        <v>4</v>
      </c>
      <c r="F11" s="115" t="e">
        <f t="shared" si="1"/>
        <v>#REF!</v>
      </c>
    </row>
    <row r="12" spans="1:8">
      <c r="A12">
        <v>5</v>
      </c>
      <c r="B12" s="115" t="e">
        <f t="shared" si="0"/>
        <v>#REF!</v>
      </c>
      <c r="D12" s="116" t="s">
        <v>9</v>
      </c>
      <c r="E12">
        <v>5</v>
      </c>
      <c r="F12" s="115" t="e">
        <f t="shared" si="1"/>
        <v>#REF!</v>
      </c>
    </row>
    <row r="13" spans="1:8">
      <c r="A13">
        <v>6</v>
      </c>
      <c r="B13" s="115" t="e">
        <f t="shared" si="0"/>
        <v>#REF!</v>
      </c>
      <c r="D13" s="116" t="s">
        <v>10</v>
      </c>
      <c r="E13">
        <v>6</v>
      </c>
      <c r="F13" s="115" t="e">
        <f t="shared" si="1"/>
        <v>#REF!</v>
      </c>
    </row>
    <row r="14" spans="1:8">
      <c r="A14">
        <v>7</v>
      </c>
      <c r="B14" s="115" t="e">
        <f t="shared" si="0"/>
        <v>#REF!</v>
      </c>
      <c r="D14" s="116" t="s">
        <v>11</v>
      </c>
      <c r="E14">
        <v>7</v>
      </c>
      <c r="F14" s="115" t="e">
        <f t="shared" si="1"/>
        <v>#REF!</v>
      </c>
    </row>
    <row r="15" spans="1:8">
      <c r="A15">
        <v>8</v>
      </c>
      <c r="B15" s="115" t="e">
        <f t="shared" si="0"/>
        <v>#REF!</v>
      </c>
      <c r="D15" s="116" t="s">
        <v>12</v>
      </c>
      <c r="E15">
        <v>8</v>
      </c>
      <c r="F15" s="115" t="e">
        <f t="shared" si="1"/>
        <v>#REF!</v>
      </c>
    </row>
    <row r="16" spans="1:8">
      <c r="A16">
        <v>9</v>
      </c>
      <c r="B16" s="115" t="e">
        <f t="shared" si="0"/>
        <v>#REF!</v>
      </c>
      <c r="D16" s="116" t="s">
        <v>13</v>
      </c>
      <c r="E16">
        <v>9</v>
      </c>
      <c r="F16" s="115" t="e">
        <f t="shared" si="1"/>
        <v>#REF!</v>
      </c>
    </row>
    <row r="17" spans="1:6">
      <c r="A17">
        <v>10</v>
      </c>
      <c r="B17" s="115" t="e">
        <f t="shared" si="0"/>
        <v>#REF!</v>
      </c>
      <c r="D17" s="116" t="s">
        <v>14</v>
      </c>
      <c r="E17">
        <v>10</v>
      </c>
      <c r="F17" s="115" t="e">
        <f t="shared" si="1"/>
        <v>#REF!</v>
      </c>
    </row>
    <row r="18" spans="1:6">
      <c r="A18">
        <v>11</v>
      </c>
      <c r="B18" s="115" t="e">
        <f t="shared" si="0"/>
        <v>#REF!</v>
      </c>
      <c r="D18" s="116" t="s">
        <v>15</v>
      </c>
      <c r="E18">
        <v>11</v>
      </c>
      <c r="F18" s="115" t="e">
        <f t="shared" si="1"/>
        <v>#REF!</v>
      </c>
    </row>
    <row r="19" spans="1:6">
      <c r="A19">
        <v>12</v>
      </c>
      <c r="B19" s="115" t="e">
        <f t="shared" si="0"/>
        <v>#REF!</v>
      </c>
      <c r="D19" s="116" t="s">
        <v>16</v>
      </c>
      <c r="E19">
        <v>12</v>
      </c>
      <c r="F19" s="115" t="e">
        <f t="shared" si="1"/>
        <v>#REF!</v>
      </c>
    </row>
  </sheetData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G43"/>
  <sheetViews>
    <sheetView zoomScale="70" zoomScaleNormal="7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G31" sqref="G31"/>
    </sheetView>
  </sheetViews>
  <sheetFormatPr defaultColWidth="9.109375" defaultRowHeight="21"/>
  <cols>
    <col min="1" max="1" width="6.33203125" style="85" customWidth="1"/>
    <col min="2" max="2" width="36.44140625" style="85" customWidth="1"/>
    <col min="3" max="3" width="35.109375" style="85" customWidth="1"/>
    <col min="4" max="4" width="39" style="85" customWidth="1"/>
    <col min="5" max="5" width="34.109375" style="85" customWidth="1"/>
    <col min="6" max="6" width="28.6640625" style="85" customWidth="1"/>
    <col min="7" max="7" width="32" style="85" customWidth="1"/>
    <col min="8" max="16384" width="9.109375" style="85"/>
  </cols>
  <sheetData>
    <row r="1" spans="1:7" ht="30" customHeight="1">
      <c r="A1" s="119" t="s">
        <v>17</v>
      </c>
      <c r="B1" s="119"/>
      <c r="C1" s="119"/>
      <c r="D1" s="119"/>
      <c r="E1" s="119"/>
    </row>
    <row r="2" spans="1:7" ht="30" customHeight="1">
      <c r="A2" s="119" t="s">
        <v>18</v>
      </c>
      <c r="B2" s="119"/>
      <c r="C2" s="119"/>
      <c r="D2" s="119"/>
      <c r="E2" s="119"/>
    </row>
    <row r="3" spans="1:7" ht="30" customHeight="1">
      <c r="A3" s="120" t="s">
        <v>19</v>
      </c>
      <c r="B3" s="121"/>
      <c r="C3" s="121"/>
      <c r="D3" s="121"/>
      <c r="E3" s="122"/>
    </row>
    <row r="4" spans="1:7" ht="40.5" customHeight="1">
      <c r="A4" s="123" t="s">
        <v>20</v>
      </c>
      <c r="B4" s="123"/>
      <c r="C4" s="123"/>
      <c r="D4" s="123"/>
      <c r="E4" s="123"/>
    </row>
    <row r="5" spans="1:7" ht="83.25" customHeight="1">
      <c r="A5" s="94" t="s">
        <v>21</v>
      </c>
      <c r="B5" s="95" t="s">
        <v>22</v>
      </c>
      <c r="C5" s="95" t="s">
        <v>23</v>
      </c>
      <c r="D5" s="95" t="s">
        <v>24</v>
      </c>
      <c r="E5" s="92" t="s">
        <v>25</v>
      </c>
    </row>
    <row r="6" spans="1:7" ht="30" customHeight="1">
      <c r="A6" s="96"/>
      <c r="B6" s="96"/>
      <c r="C6" s="117" t="s">
        <v>26</v>
      </c>
      <c r="D6" s="117" t="s">
        <v>26</v>
      </c>
      <c r="E6" s="117" t="s">
        <v>26</v>
      </c>
      <c r="G6" s="97"/>
    </row>
    <row r="7" spans="1:7" ht="30" customHeight="1">
      <c r="A7" s="98">
        <v>1</v>
      </c>
      <c r="B7" s="98" t="s">
        <v>27</v>
      </c>
      <c r="C7" s="99">
        <v>380034801873.27899</v>
      </c>
      <c r="D7" s="100">
        <v>26574988776.928501</v>
      </c>
      <c r="E7" s="99">
        <f>C7+D7</f>
        <v>406609790650.20752</v>
      </c>
      <c r="F7" s="101"/>
      <c r="G7" s="97"/>
    </row>
    <row r="8" spans="1:7" ht="30" customHeight="1">
      <c r="A8" s="98">
        <v>2</v>
      </c>
      <c r="B8" s="98" t="s">
        <v>28</v>
      </c>
      <c r="C8" s="99">
        <v>192758730183.258</v>
      </c>
      <c r="D8" s="99">
        <v>88583295923.095001</v>
      </c>
      <c r="E8" s="99">
        <f t="shared" ref="E8:E20" si="0">C8+D8</f>
        <v>281342026106.35303</v>
      </c>
      <c r="F8" s="101"/>
      <c r="G8" s="97"/>
    </row>
    <row r="9" spans="1:7" ht="30" customHeight="1">
      <c r="A9" s="98">
        <v>3</v>
      </c>
      <c r="B9" s="98" t="s">
        <v>29</v>
      </c>
      <c r="C9" s="99">
        <v>148608901264.039</v>
      </c>
      <c r="D9" s="99">
        <v>62008307146.166496</v>
      </c>
      <c r="E9" s="99">
        <f t="shared" si="0"/>
        <v>210617208410.20551</v>
      </c>
      <c r="F9" s="101"/>
      <c r="G9" s="101"/>
    </row>
    <row r="10" spans="1:7" ht="30" customHeight="1">
      <c r="A10" s="98">
        <v>4</v>
      </c>
      <c r="B10" s="98" t="s">
        <v>30</v>
      </c>
      <c r="C10" s="99">
        <v>55515278780.704597</v>
      </c>
      <c r="D10" s="99">
        <v>0</v>
      </c>
      <c r="E10" s="99">
        <f t="shared" si="0"/>
        <v>55515278780.704597</v>
      </c>
      <c r="F10" s="101"/>
      <c r="G10" s="101"/>
    </row>
    <row r="11" spans="1:7" ht="30" customHeight="1">
      <c r="A11" s="98">
        <v>5</v>
      </c>
      <c r="B11" s="98" t="s">
        <v>31</v>
      </c>
      <c r="C11" s="99">
        <v>9638126912.2399998</v>
      </c>
      <c r="D11" s="99">
        <v>787392910.42999995</v>
      </c>
      <c r="E11" s="99">
        <f t="shared" si="0"/>
        <v>10425519822.67</v>
      </c>
      <c r="F11" s="101"/>
    </row>
    <row r="12" spans="1:7" ht="30" customHeight="1">
      <c r="A12" s="98">
        <v>6</v>
      </c>
      <c r="B12" s="102" t="s">
        <v>32</v>
      </c>
      <c r="C12" s="99">
        <v>18033375816.709999</v>
      </c>
      <c r="D12" s="99">
        <v>6822855880.21</v>
      </c>
      <c r="E12" s="99">
        <f t="shared" si="0"/>
        <v>24856231696.919998</v>
      </c>
      <c r="F12" s="101"/>
    </row>
    <row r="13" spans="1:7" ht="30" customHeight="1">
      <c r="A13" s="98">
        <v>7</v>
      </c>
      <c r="B13" s="102" t="s">
        <v>33</v>
      </c>
      <c r="C13" s="99">
        <v>11972857718.549999</v>
      </c>
      <c r="D13" s="99">
        <v>0</v>
      </c>
      <c r="E13" s="99">
        <f t="shared" si="0"/>
        <v>11972857718.549999</v>
      </c>
      <c r="F13" s="101"/>
    </row>
    <row r="14" spans="1:7" ht="38.25" customHeight="1">
      <c r="A14" s="98">
        <v>8</v>
      </c>
      <c r="B14" s="102" t="s">
        <v>34</v>
      </c>
      <c r="C14" s="99">
        <v>100000000</v>
      </c>
      <c r="D14" s="99">
        <v>0</v>
      </c>
      <c r="E14" s="99">
        <f t="shared" si="0"/>
        <v>100000000</v>
      </c>
      <c r="F14" s="101"/>
    </row>
    <row r="15" spans="1:7" ht="38.25" customHeight="1">
      <c r="A15" s="98">
        <v>9</v>
      </c>
      <c r="B15" s="102" t="s">
        <v>35</v>
      </c>
      <c r="C15" s="99">
        <v>4000000000</v>
      </c>
      <c r="D15" s="99">
        <v>0</v>
      </c>
      <c r="E15" s="99">
        <f t="shared" si="0"/>
        <v>4000000000</v>
      </c>
      <c r="F15" s="101"/>
    </row>
    <row r="16" spans="1:7" ht="42">
      <c r="A16" s="98">
        <v>10</v>
      </c>
      <c r="B16" s="102" t="s">
        <v>36</v>
      </c>
      <c r="C16" s="103">
        <v>26527075168.470001</v>
      </c>
      <c r="D16" s="99">
        <v>0</v>
      </c>
      <c r="E16" s="99">
        <f t="shared" si="0"/>
        <v>26527075168.470001</v>
      </c>
      <c r="F16" s="101"/>
    </row>
    <row r="17" spans="1:7" ht="63">
      <c r="A17" s="98">
        <v>11</v>
      </c>
      <c r="B17" s="102" t="s">
        <v>37</v>
      </c>
      <c r="C17" s="103">
        <v>41492903768.720001</v>
      </c>
      <c r="D17" s="99">
        <v>0</v>
      </c>
      <c r="E17" s="99">
        <f t="shared" si="0"/>
        <v>41492903768.720001</v>
      </c>
      <c r="F17" s="101"/>
    </row>
    <row r="18" spans="1:7" ht="42">
      <c r="A18" s="98">
        <v>12</v>
      </c>
      <c r="B18" s="102" t="s">
        <v>38</v>
      </c>
      <c r="C18" s="103">
        <v>18163078852.380001</v>
      </c>
      <c r="D18" s="99">
        <v>0</v>
      </c>
      <c r="E18" s="99">
        <f t="shared" si="0"/>
        <v>18163078852.380001</v>
      </c>
      <c r="F18" s="101"/>
    </row>
    <row r="19" spans="1:7" ht="42.75" customHeight="1">
      <c r="A19" s="98">
        <v>14</v>
      </c>
      <c r="B19" s="102" t="s">
        <v>39</v>
      </c>
      <c r="C19" s="103">
        <v>0</v>
      </c>
      <c r="D19" s="99">
        <v>5479379129.2600002</v>
      </c>
      <c r="E19" s="99">
        <f t="shared" si="0"/>
        <v>5479379129.2600002</v>
      </c>
      <c r="F19" s="101"/>
    </row>
    <row r="20" spans="1:7" ht="42.75" customHeight="1">
      <c r="A20" s="98">
        <v>15</v>
      </c>
      <c r="B20" s="102" t="s">
        <v>40</v>
      </c>
      <c r="C20" s="103">
        <v>160000000000</v>
      </c>
      <c r="D20" s="99">
        <v>0</v>
      </c>
      <c r="E20" s="99">
        <f t="shared" si="0"/>
        <v>160000000000</v>
      </c>
      <c r="F20" s="101"/>
    </row>
    <row r="21" spans="1:7" ht="30" customHeight="1">
      <c r="A21" s="98"/>
      <c r="B21" s="93" t="s">
        <v>41</v>
      </c>
      <c r="C21" s="103">
        <f>SUM(C7:C20)</f>
        <v>1066845130338.3505</v>
      </c>
      <c r="D21" s="103">
        <f>SUM(D7:D20)</f>
        <v>190256219766.09</v>
      </c>
      <c r="E21" s="103">
        <f>SUM(E7:E20)</f>
        <v>1257101350104.4409</v>
      </c>
      <c r="F21" s="101"/>
    </row>
    <row r="22" spans="1:7" ht="50.25" customHeight="1">
      <c r="B22" s="104"/>
      <c r="C22" s="105"/>
      <c r="D22" s="105"/>
      <c r="E22" s="105"/>
    </row>
    <row r="23" spans="1:7" ht="55.5" customHeight="1">
      <c r="A23" s="124" t="s">
        <v>42</v>
      </c>
      <c r="B23" s="125"/>
      <c r="C23" s="125"/>
      <c r="D23" s="125"/>
      <c r="E23" s="125"/>
      <c r="F23" s="125"/>
      <c r="G23" s="125"/>
    </row>
    <row r="24" spans="1:7" ht="30" customHeight="1">
      <c r="A24" s="126" t="s">
        <v>43</v>
      </c>
      <c r="B24" s="127"/>
      <c r="C24" s="127"/>
      <c r="D24" s="127"/>
      <c r="E24" s="127"/>
      <c r="F24" s="127"/>
      <c r="G24" s="127"/>
    </row>
    <row r="25" spans="1:7" ht="30" customHeight="1">
      <c r="A25" s="96">
        <v>0</v>
      </c>
      <c r="B25" s="96">
        <v>1</v>
      </c>
      <c r="C25" s="96">
        <v>2</v>
      </c>
      <c r="D25" s="96">
        <v>3</v>
      </c>
      <c r="E25" s="96" t="s">
        <v>44</v>
      </c>
      <c r="F25" s="96">
        <v>5</v>
      </c>
      <c r="G25" s="96" t="s">
        <v>45</v>
      </c>
    </row>
    <row r="26" spans="1:7" ht="73.5" customHeight="1">
      <c r="A26" s="93" t="s">
        <v>21</v>
      </c>
      <c r="B26" s="93" t="s">
        <v>22</v>
      </c>
      <c r="C26" s="106" t="s">
        <v>46</v>
      </c>
      <c r="D26" s="93" t="s">
        <v>47</v>
      </c>
      <c r="E26" s="93" t="s">
        <v>48</v>
      </c>
      <c r="F26" s="93" t="s">
        <v>24</v>
      </c>
      <c r="G26" s="93" t="s">
        <v>25</v>
      </c>
    </row>
    <row r="27" spans="1:7" ht="22.8">
      <c r="A27" s="98"/>
      <c r="B27" s="98"/>
      <c r="C27" s="117" t="s">
        <v>26</v>
      </c>
      <c r="D27" s="117" t="s">
        <v>26</v>
      </c>
      <c r="E27" s="117" t="s">
        <v>26</v>
      </c>
      <c r="F27" s="117" t="s">
        <v>26</v>
      </c>
      <c r="G27" s="117" t="s">
        <v>26</v>
      </c>
    </row>
    <row r="28" spans="1:7">
      <c r="A28" s="98">
        <v>1</v>
      </c>
      <c r="B28" s="98" t="s">
        <v>49</v>
      </c>
      <c r="C28" s="107">
        <v>349880180160.47998</v>
      </c>
      <c r="D28" s="107">
        <v>107474920881.64</v>
      </c>
      <c r="E28" s="107">
        <f>C28-D28</f>
        <v>242405259278.83997</v>
      </c>
      <c r="F28" s="107">
        <v>24803322858.470001</v>
      </c>
      <c r="G28" s="107">
        <f>E28+F28</f>
        <v>267208582137.30997</v>
      </c>
    </row>
    <row r="29" spans="1:7">
      <c r="A29" s="98">
        <v>2</v>
      </c>
      <c r="B29" s="98" t="s">
        <v>50</v>
      </c>
      <c r="C29" s="107">
        <v>7214024333.21</v>
      </c>
      <c r="D29" s="107"/>
      <c r="E29" s="107">
        <f>C29-D29</f>
        <v>7214024333.21</v>
      </c>
      <c r="F29" s="107">
        <v>0</v>
      </c>
      <c r="G29" s="107">
        <f t="shared" ref="G29:G32" si="1">E29+F29</f>
        <v>7214024333.21</v>
      </c>
    </row>
    <row r="30" spans="1:7">
      <c r="A30" s="98">
        <v>3</v>
      </c>
      <c r="B30" s="98" t="s">
        <v>51</v>
      </c>
      <c r="C30" s="107">
        <v>3607012166.5999999</v>
      </c>
      <c r="D30" s="107"/>
      <c r="E30" s="107">
        <f t="shared" ref="E29:E32" si="2">C30-D30</f>
        <v>3607012166.5999999</v>
      </c>
      <c r="F30" s="107">
        <v>0</v>
      </c>
      <c r="G30" s="107">
        <f t="shared" si="1"/>
        <v>3607012166.5999999</v>
      </c>
    </row>
    <row r="31" spans="1:7" ht="42">
      <c r="A31" s="98">
        <v>4</v>
      </c>
      <c r="B31" s="102" t="s">
        <v>52</v>
      </c>
      <c r="C31" s="107">
        <v>12119560879.790001</v>
      </c>
      <c r="D31" s="107"/>
      <c r="E31" s="107">
        <f>C31-D31</f>
        <v>12119560879.790001</v>
      </c>
      <c r="F31" s="107">
        <v>0</v>
      </c>
      <c r="G31" s="107">
        <f t="shared" si="1"/>
        <v>12119560879.790001</v>
      </c>
    </row>
    <row r="32" spans="1:7">
      <c r="A32" s="98">
        <v>5</v>
      </c>
      <c r="B32" s="98" t="s">
        <v>53</v>
      </c>
      <c r="C32" s="107">
        <v>7214024333.21</v>
      </c>
      <c r="D32" s="107">
        <v>69362636</v>
      </c>
      <c r="E32" s="107">
        <f t="shared" si="2"/>
        <v>7144661697.21</v>
      </c>
      <c r="F32" s="107">
        <v>1771665918.46</v>
      </c>
      <c r="G32" s="107">
        <f t="shared" si="1"/>
        <v>8916327615.6700001</v>
      </c>
    </row>
    <row r="33" spans="1:7" ht="36.75" customHeight="1">
      <c r="A33" s="98"/>
      <c r="B33" s="77" t="s">
        <v>25</v>
      </c>
      <c r="C33" s="108">
        <f>SUM(C28:C32)</f>
        <v>380034801873.28998</v>
      </c>
      <c r="D33" s="108">
        <f t="shared" ref="D33:G33" si="3">SUM(D28:D32)</f>
        <v>107544283517.64</v>
      </c>
      <c r="E33" s="108">
        <f t="shared" si="3"/>
        <v>272490518355.64996</v>
      </c>
      <c r="F33" s="108">
        <f>SUM(F28:F32)</f>
        <v>26574988776.93</v>
      </c>
      <c r="G33" s="108">
        <f t="shared" si="3"/>
        <v>299065507132.5799</v>
      </c>
    </row>
    <row r="34" spans="1:7">
      <c r="D34" s="101"/>
    </row>
    <row r="35" spans="1:7" ht="25.05" customHeight="1">
      <c r="A35" s="128" t="s">
        <v>54</v>
      </c>
      <c r="B35" s="128"/>
      <c r="C35" s="128"/>
      <c r="D35" s="101"/>
      <c r="G35" s="101"/>
    </row>
    <row r="36" spans="1:7" ht="85.95" customHeight="1">
      <c r="A36" s="129" t="s">
        <v>55</v>
      </c>
      <c r="B36" s="129"/>
      <c r="C36" s="129"/>
      <c r="D36" s="129"/>
      <c r="E36" s="129"/>
      <c r="F36" s="129"/>
      <c r="G36" s="129"/>
    </row>
    <row r="37" spans="1:7" ht="42.75" customHeight="1">
      <c r="B37" s="109"/>
      <c r="C37" s="109"/>
      <c r="D37" s="109"/>
      <c r="G37" s="110"/>
    </row>
    <row r="38" spans="1:7">
      <c r="B38" s="109"/>
      <c r="C38" s="109"/>
      <c r="D38" s="109"/>
      <c r="G38" s="110"/>
    </row>
    <row r="39" spans="1:7">
      <c r="B39" s="111"/>
      <c r="C39" s="109"/>
      <c r="D39" s="109"/>
    </row>
    <row r="40" spans="1:7" ht="22.8">
      <c r="B40" s="97"/>
      <c r="C40" s="130" t="s">
        <v>56</v>
      </c>
      <c r="D40" s="130"/>
    </row>
    <row r="41" spans="1:7" ht="35.25" customHeight="1">
      <c r="B41" s="97"/>
      <c r="C41" s="130" t="s">
        <v>57</v>
      </c>
      <c r="D41" s="130"/>
      <c r="E41" s="130"/>
    </row>
    <row r="42" spans="1:7" ht="22.8">
      <c r="B42" s="97"/>
      <c r="C42" s="112" t="s">
        <v>58</v>
      </c>
      <c r="D42" s="112"/>
    </row>
    <row r="43" spans="1:7" ht="22.8">
      <c r="B43" s="97"/>
      <c r="C43" s="130" t="s">
        <v>59</v>
      </c>
      <c r="D43" s="130"/>
    </row>
  </sheetData>
  <mergeCells count="11">
    <mergeCell ref="C43:D43"/>
    <mergeCell ref="A24:G24"/>
    <mergeCell ref="A35:C35"/>
    <mergeCell ref="A36:G36"/>
    <mergeCell ref="C40:D40"/>
    <mergeCell ref="C41:E41"/>
    <mergeCell ref="A1:E1"/>
    <mergeCell ref="A2:E2"/>
    <mergeCell ref="A3:E3"/>
    <mergeCell ref="A4:E4"/>
    <mergeCell ref="A23:G23"/>
  </mergeCells>
  <pageMargins left="0.74803149606299202" right="0.74803149606299202" top="0.39370078740157499" bottom="0.41" header="0.511811023622047" footer="0.511811023622047"/>
  <pageSetup scale="37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F54"/>
  <sheetViews>
    <sheetView topLeftCell="A5" workbookViewId="0">
      <pane xSplit="3" ySplit="5" topLeftCell="Q10" activePane="bottomRight" state="frozen"/>
      <selection pane="topRight"/>
      <selection pane="bottomLeft"/>
      <selection pane="bottomRight" activeCell="A5" sqref="A1:S46"/>
    </sheetView>
  </sheetViews>
  <sheetFormatPr defaultColWidth="8.88671875" defaultRowHeight="13.2"/>
  <cols>
    <col min="1" max="1" width="4.109375" style="70" customWidth="1"/>
    <col min="2" max="2" width="22.44140625" style="70" customWidth="1"/>
    <col min="3" max="3" width="7.44140625" style="70" customWidth="1"/>
    <col min="4" max="4" width="25.5546875" style="70" customWidth="1"/>
    <col min="5" max="5" width="23.6640625" style="70" customWidth="1"/>
    <col min="6" max="6" width="28.33203125" style="70" customWidth="1"/>
    <col min="7" max="7" width="21.33203125" style="70" customWidth="1"/>
    <col min="8" max="8" width="24.44140625" style="70" customWidth="1"/>
    <col min="9" max="9" width="22.6640625" style="70" customWidth="1"/>
    <col min="10" max="10" width="25.5546875" style="70" customWidth="1"/>
    <col min="11" max="16" width="22" style="70" customWidth="1"/>
    <col min="17" max="17" width="24.33203125" style="70" customWidth="1"/>
    <col min="18" max="18" width="24.109375" style="70" customWidth="1"/>
    <col min="19" max="19" width="6.44140625" style="70" customWidth="1"/>
    <col min="20" max="20" width="8.88671875" style="70"/>
    <col min="21" max="21" width="16.33203125" style="70" customWidth="1"/>
    <col min="22" max="22" width="16.88671875" style="70" customWidth="1"/>
    <col min="23" max="23" width="21" style="70" customWidth="1"/>
    <col min="24" max="24" width="8.88671875" style="70"/>
    <col min="25" max="25" width="17.44140625" style="70" customWidth="1"/>
    <col min="26" max="26" width="12.33203125" style="70" customWidth="1"/>
    <col min="27" max="27" width="17.88671875" style="70" customWidth="1"/>
    <col min="28" max="29" width="8.88671875" style="70"/>
    <col min="30" max="30" width="17.88671875" style="70" customWidth="1"/>
    <col min="31" max="31" width="16.33203125" style="70" customWidth="1"/>
    <col min="32" max="32" width="17.88671875" style="70" customWidth="1"/>
    <col min="33" max="16384" width="8.88671875" style="70"/>
  </cols>
  <sheetData>
    <row r="1" spans="1:32" ht="22.8">
      <c r="A1" s="131" t="s">
        <v>60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</row>
    <row r="2" spans="1:32" ht="24.6">
      <c r="A2" s="132" t="s">
        <v>61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</row>
    <row r="3" spans="1:32" ht="18" customHeight="1">
      <c r="H3" s="1" t="s">
        <v>62</v>
      </c>
    </row>
    <row r="4" spans="1:32" ht="17.399999999999999">
      <c r="A4" s="133" t="s">
        <v>63</v>
      </c>
      <c r="B4" s="133"/>
      <c r="C4" s="133"/>
      <c r="D4" s="133"/>
      <c r="E4" s="133"/>
      <c r="F4" s="133"/>
      <c r="G4" s="133"/>
      <c r="H4" s="133"/>
      <c r="I4" s="133"/>
      <c r="J4" s="133"/>
      <c r="K4" s="133"/>
      <c r="L4" s="133"/>
      <c r="M4" s="133"/>
      <c r="N4" s="133"/>
      <c r="O4" s="133"/>
      <c r="P4" s="133"/>
      <c r="Q4" s="133"/>
      <c r="R4" s="133"/>
    </row>
    <row r="5" spans="1:32" ht="20.399999999999999">
      <c r="D5" s="134"/>
      <c r="E5" s="134"/>
      <c r="F5" s="134"/>
      <c r="G5" s="134"/>
      <c r="H5" s="134"/>
      <c r="I5" s="134"/>
      <c r="J5" s="134"/>
      <c r="K5" s="134"/>
      <c r="L5" s="134"/>
      <c r="M5" s="134"/>
      <c r="N5" s="134"/>
      <c r="O5" s="134"/>
      <c r="P5" s="134"/>
      <c r="Q5" s="134"/>
      <c r="R5" s="134"/>
    </row>
    <row r="6" spans="1:32" ht="15.6">
      <c r="A6" s="16">
        <v>1</v>
      </c>
      <c r="B6" s="16">
        <v>2</v>
      </c>
      <c r="C6" s="16">
        <v>3</v>
      </c>
      <c r="D6" s="16">
        <v>4</v>
      </c>
      <c r="E6" s="16">
        <v>5</v>
      </c>
      <c r="F6" s="16" t="s">
        <v>45</v>
      </c>
      <c r="G6" s="16">
        <v>7</v>
      </c>
      <c r="H6" s="16">
        <v>8</v>
      </c>
      <c r="I6" s="16">
        <v>9</v>
      </c>
      <c r="J6" s="16" t="s">
        <v>64</v>
      </c>
      <c r="K6" s="16">
        <v>11</v>
      </c>
      <c r="L6" s="16">
        <v>12</v>
      </c>
      <c r="M6" s="16">
        <v>13</v>
      </c>
      <c r="N6" s="16">
        <v>14</v>
      </c>
      <c r="O6" s="16">
        <v>15</v>
      </c>
      <c r="P6" s="16">
        <v>16</v>
      </c>
      <c r="Q6" s="16" t="s">
        <v>65</v>
      </c>
      <c r="R6" s="16" t="s">
        <v>66</v>
      </c>
      <c r="S6" s="71"/>
    </row>
    <row r="7" spans="1:32" ht="12.75" customHeight="1">
      <c r="A7" s="140" t="s">
        <v>21</v>
      </c>
      <c r="B7" s="140" t="s">
        <v>22</v>
      </c>
      <c r="C7" s="140" t="s">
        <v>67</v>
      </c>
      <c r="D7" s="140" t="s">
        <v>68</v>
      </c>
      <c r="E7" s="140" t="s">
        <v>69</v>
      </c>
      <c r="F7" s="140" t="s">
        <v>70</v>
      </c>
      <c r="G7" s="135" t="s">
        <v>71</v>
      </c>
      <c r="H7" s="136"/>
      <c r="I7" s="137"/>
      <c r="J7" s="140" t="s">
        <v>48</v>
      </c>
      <c r="K7" s="140" t="s">
        <v>72</v>
      </c>
      <c r="L7" s="140" t="s">
        <v>73</v>
      </c>
      <c r="M7" s="140" t="s">
        <v>74</v>
      </c>
      <c r="N7" s="140" t="s">
        <v>75</v>
      </c>
      <c r="O7" s="140" t="s">
        <v>76</v>
      </c>
      <c r="P7" s="140" t="s">
        <v>77</v>
      </c>
      <c r="Q7" s="140" t="s">
        <v>78</v>
      </c>
      <c r="R7" s="140" t="s">
        <v>79</v>
      </c>
      <c r="S7" s="142" t="s">
        <v>21</v>
      </c>
    </row>
    <row r="8" spans="1:32" ht="50.25" customHeight="1">
      <c r="A8" s="141"/>
      <c r="B8" s="141"/>
      <c r="C8" s="141"/>
      <c r="D8" s="141"/>
      <c r="E8" s="141"/>
      <c r="F8" s="141"/>
      <c r="G8" s="9" t="s">
        <v>80</v>
      </c>
      <c r="H8" s="9" t="s">
        <v>81</v>
      </c>
      <c r="I8" s="9" t="s">
        <v>82</v>
      </c>
      <c r="J8" s="141"/>
      <c r="K8" s="141"/>
      <c r="L8" s="141"/>
      <c r="M8" s="141"/>
      <c r="N8" s="141"/>
      <c r="O8" s="141"/>
      <c r="P8" s="141"/>
      <c r="Q8" s="141"/>
      <c r="R8" s="141"/>
      <c r="S8" s="143"/>
    </row>
    <row r="9" spans="1:32" ht="30" customHeight="1">
      <c r="A9" s="71"/>
      <c r="B9" s="71"/>
      <c r="C9" s="71"/>
      <c r="D9" s="118" t="s">
        <v>26</v>
      </c>
      <c r="E9" s="118" t="s">
        <v>26</v>
      </c>
      <c r="F9" s="118" t="s">
        <v>26</v>
      </c>
      <c r="G9" s="118" t="s">
        <v>26</v>
      </c>
      <c r="H9" s="118" t="s">
        <v>26</v>
      </c>
      <c r="I9" s="118" t="s">
        <v>26</v>
      </c>
      <c r="J9" s="118" t="s">
        <v>26</v>
      </c>
      <c r="K9" s="118" t="s">
        <v>26</v>
      </c>
      <c r="L9" s="118" t="s">
        <v>26</v>
      </c>
      <c r="M9" s="118" t="s">
        <v>26</v>
      </c>
      <c r="N9" s="118" t="s">
        <v>26</v>
      </c>
      <c r="O9" s="118" t="s">
        <v>26</v>
      </c>
      <c r="P9" s="118" t="s">
        <v>26</v>
      </c>
      <c r="Q9" s="118" t="s">
        <v>26</v>
      </c>
      <c r="R9" s="118" t="s">
        <v>26</v>
      </c>
      <c r="S9" s="71"/>
    </row>
    <row r="10" spans="1:32" ht="30" customHeight="1">
      <c r="A10" s="71">
        <v>1</v>
      </c>
      <c r="B10" s="72" t="s">
        <v>83</v>
      </c>
      <c r="C10" s="73">
        <v>17</v>
      </c>
      <c r="D10" s="74">
        <v>4631596356.6299295</v>
      </c>
      <c r="E10" s="74">
        <v>545404856.35440004</v>
      </c>
      <c r="F10" s="75">
        <f>D10+E10</f>
        <v>5177001212.9843292</v>
      </c>
      <c r="G10" s="74">
        <v>65118215.920000002</v>
      </c>
      <c r="H10" s="74">
        <v>0</v>
      </c>
      <c r="I10" s="74">
        <f>981979907-H10-G10</f>
        <v>916861691.08000004</v>
      </c>
      <c r="J10" s="74">
        <f>F10-G10-H10-I10</f>
        <v>4195021305.9843292</v>
      </c>
      <c r="K10" s="74">
        <v>128259591.41436701</v>
      </c>
      <c r="L10" s="74">
        <f>K10/2</f>
        <v>64129795.707183503</v>
      </c>
      <c r="M10" s="74">
        <f>K10-L10</f>
        <v>64129795.707183503</v>
      </c>
      <c r="N10" s="74">
        <v>1833083376.4398999</v>
      </c>
      <c r="O10" s="86">
        <v>0</v>
      </c>
      <c r="P10" s="74">
        <f>N10-O10</f>
        <v>1833083376.4398999</v>
      </c>
      <c r="Q10" s="86">
        <f t="shared" ref="Q10:Q45" si="0">F10+K10+N10</f>
        <v>7138344180.8385963</v>
      </c>
      <c r="R10" s="91">
        <f t="shared" ref="R10:R45" si="1">J10+M10+P10</f>
        <v>6092234478.1314125</v>
      </c>
      <c r="S10" s="71">
        <v>1</v>
      </c>
      <c r="AF10" s="84">
        <v>0</v>
      </c>
    </row>
    <row r="11" spans="1:32" ht="30" customHeight="1">
      <c r="A11" s="71">
        <v>2</v>
      </c>
      <c r="B11" s="72" t="s">
        <v>84</v>
      </c>
      <c r="C11" s="76">
        <v>21</v>
      </c>
      <c r="D11" s="74">
        <v>4927222044.5766602</v>
      </c>
      <c r="E11" s="74">
        <v>0</v>
      </c>
      <c r="F11" s="75">
        <f t="shared" ref="F11:F45" si="2">D11+E11</f>
        <v>4927222044.5766602</v>
      </c>
      <c r="G11" s="74">
        <v>81744975.519999996</v>
      </c>
      <c r="H11" s="74">
        <v>0</v>
      </c>
      <c r="I11" s="74">
        <f>854349051.22-H11-G11</f>
        <v>772604075.70000005</v>
      </c>
      <c r="J11" s="74">
        <f t="shared" ref="J11:J45" si="3">F11-G11-H11-I11</f>
        <v>4072872993.3566599</v>
      </c>
      <c r="K11" s="74">
        <v>136446148.92673799</v>
      </c>
      <c r="L11" s="74">
        <v>0</v>
      </c>
      <c r="M11" s="74">
        <f t="shared" ref="M11:M45" si="4">K11-L11</f>
        <v>136446148.92673799</v>
      </c>
      <c r="N11" s="74">
        <v>1873389028.4942999</v>
      </c>
      <c r="O11" s="86">
        <v>0</v>
      </c>
      <c r="P11" s="74">
        <f t="shared" ref="P11:P45" si="5">N11-O11</f>
        <v>1873389028.4942999</v>
      </c>
      <c r="Q11" s="86">
        <f t="shared" si="0"/>
        <v>6937057221.9976978</v>
      </c>
      <c r="R11" s="91">
        <f t="shared" si="1"/>
        <v>6082708170.7776976</v>
      </c>
      <c r="S11" s="71">
        <v>2</v>
      </c>
      <c r="AF11" s="84">
        <v>0</v>
      </c>
    </row>
    <row r="12" spans="1:32" ht="30" customHeight="1">
      <c r="A12" s="71">
        <v>3</v>
      </c>
      <c r="B12" s="72" t="s">
        <v>85</v>
      </c>
      <c r="C12" s="76">
        <v>31</v>
      </c>
      <c r="D12" s="74">
        <v>4973010331.8116503</v>
      </c>
      <c r="E12" s="74">
        <v>20300960488.431301</v>
      </c>
      <c r="F12" s="75">
        <f t="shared" si="2"/>
        <v>25273970820.24295</v>
      </c>
      <c r="G12" s="74">
        <v>52072982.520000003</v>
      </c>
      <c r="H12" s="74">
        <v>0</v>
      </c>
      <c r="I12" s="74">
        <f>1363679530.4-H12-G12</f>
        <v>1311606547.8800001</v>
      </c>
      <c r="J12" s="74">
        <f t="shared" si="3"/>
        <v>23910291289.842949</v>
      </c>
      <c r="K12" s="74">
        <v>137714132.265553</v>
      </c>
      <c r="L12" s="74">
        <f>K12/2</f>
        <v>68857066.132776499</v>
      </c>
      <c r="M12" s="74">
        <f t="shared" si="4"/>
        <v>68857066.132776499</v>
      </c>
      <c r="N12" s="74">
        <v>2207816171.0813999</v>
      </c>
      <c r="O12" s="86">
        <v>0</v>
      </c>
      <c r="P12" s="74">
        <f t="shared" si="5"/>
        <v>2207816171.0813999</v>
      </c>
      <c r="Q12" s="86">
        <f t="shared" si="0"/>
        <v>27619501123.589905</v>
      </c>
      <c r="R12" s="91">
        <f t="shared" si="1"/>
        <v>26186964527.057129</v>
      </c>
      <c r="S12" s="71">
        <v>3</v>
      </c>
      <c r="AF12" s="84">
        <v>0</v>
      </c>
    </row>
    <row r="13" spans="1:32" ht="30" customHeight="1">
      <c r="A13" s="71">
        <v>4</v>
      </c>
      <c r="B13" s="72" t="s">
        <v>86</v>
      </c>
      <c r="C13" s="76">
        <v>21</v>
      </c>
      <c r="D13" s="74">
        <v>4917991474.1528101</v>
      </c>
      <c r="E13" s="74">
        <v>415546599.99790001</v>
      </c>
      <c r="F13" s="75">
        <f t="shared" si="2"/>
        <v>5333538074.1507101</v>
      </c>
      <c r="G13" s="74">
        <v>56280977.920000002</v>
      </c>
      <c r="H13" s="74">
        <v>0</v>
      </c>
      <c r="I13" s="74">
        <f>546704762.32-H13-G13</f>
        <v>490423784.40000004</v>
      </c>
      <c r="J13" s="74">
        <f t="shared" si="3"/>
        <v>4786833311.8307104</v>
      </c>
      <c r="K13" s="74">
        <v>136190533.13038599</v>
      </c>
      <c r="L13" s="74">
        <v>0</v>
      </c>
      <c r="M13" s="74">
        <f t="shared" si="4"/>
        <v>136190533.13038599</v>
      </c>
      <c r="N13" s="74">
        <v>2223191066.0409999</v>
      </c>
      <c r="O13" s="86">
        <v>0</v>
      </c>
      <c r="P13" s="74">
        <f t="shared" si="5"/>
        <v>2223191066.0409999</v>
      </c>
      <c r="Q13" s="86">
        <f t="shared" si="0"/>
        <v>7692919673.3220959</v>
      </c>
      <c r="R13" s="91">
        <f t="shared" si="1"/>
        <v>7146214911.0020962</v>
      </c>
      <c r="S13" s="71">
        <v>4</v>
      </c>
      <c r="AF13" s="84">
        <v>0</v>
      </c>
    </row>
    <row r="14" spans="1:32" ht="30" customHeight="1">
      <c r="A14" s="71">
        <v>5</v>
      </c>
      <c r="B14" s="72" t="s">
        <v>87</v>
      </c>
      <c r="C14" s="76">
        <v>20</v>
      </c>
      <c r="D14" s="74">
        <v>5916508515.44874</v>
      </c>
      <c r="E14" s="74">
        <v>0</v>
      </c>
      <c r="F14" s="75">
        <f t="shared" si="2"/>
        <v>5916508515.44874</v>
      </c>
      <c r="G14" s="74">
        <v>132109967.23999999</v>
      </c>
      <c r="H14" s="74">
        <v>201255000</v>
      </c>
      <c r="I14" s="74">
        <f>1334974455.46-H14-G14</f>
        <v>1001609488.22</v>
      </c>
      <c r="J14" s="74">
        <f t="shared" si="3"/>
        <v>4581534059.98874</v>
      </c>
      <c r="K14" s="74">
        <v>163841774.273965</v>
      </c>
      <c r="L14" s="74">
        <v>0</v>
      </c>
      <c r="M14" s="74">
        <f t="shared" si="4"/>
        <v>163841774.273965</v>
      </c>
      <c r="N14" s="74">
        <v>2174381325.5476999</v>
      </c>
      <c r="O14" s="86">
        <v>0</v>
      </c>
      <c r="P14" s="74">
        <f t="shared" si="5"/>
        <v>2174381325.5476999</v>
      </c>
      <c r="Q14" s="86">
        <f t="shared" si="0"/>
        <v>8254731615.2704048</v>
      </c>
      <c r="R14" s="91">
        <f t="shared" si="1"/>
        <v>6919757159.8104048</v>
      </c>
      <c r="S14" s="71">
        <v>5</v>
      </c>
      <c r="AF14" s="84">
        <v>0</v>
      </c>
    </row>
    <row r="15" spans="1:32" ht="30" customHeight="1">
      <c r="A15" s="71">
        <v>6</v>
      </c>
      <c r="B15" s="72" t="s">
        <v>88</v>
      </c>
      <c r="C15" s="76">
        <v>8</v>
      </c>
      <c r="D15" s="74">
        <v>4376534638.9302998</v>
      </c>
      <c r="E15" s="74">
        <v>19381355747.930698</v>
      </c>
      <c r="F15" s="75">
        <f t="shared" si="2"/>
        <v>23757890386.861</v>
      </c>
      <c r="G15" s="74">
        <v>27309923.140000001</v>
      </c>
      <c r="H15" s="74">
        <v>0</v>
      </c>
      <c r="I15" s="74">
        <f>1637993231.06-H15-G15</f>
        <v>1610683307.9199998</v>
      </c>
      <c r="J15" s="74">
        <f t="shared" si="3"/>
        <v>22119897155.801003</v>
      </c>
      <c r="K15" s="74">
        <v>121196343.84730101</v>
      </c>
      <c r="L15" s="74">
        <f t="shared" ref="L15:L21" si="6">K15/2</f>
        <v>60598171.923650503</v>
      </c>
      <c r="M15" s="74">
        <f t="shared" si="4"/>
        <v>60598171.923650503</v>
      </c>
      <c r="N15" s="74">
        <v>1851168939.8812001</v>
      </c>
      <c r="O15" s="86">
        <v>0</v>
      </c>
      <c r="P15" s="74">
        <f t="shared" si="5"/>
        <v>1851168939.8812001</v>
      </c>
      <c r="Q15" s="86">
        <f t="shared" si="0"/>
        <v>25730255670.5895</v>
      </c>
      <c r="R15" s="91">
        <f t="shared" si="1"/>
        <v>24031664267.60585</v>
      </c>
      <c r="S15" s="71">
        <v>6</v>
      </c>
      <c r="AF15" s="84">
        <v>0</v>
      </c>
    </row>
    <row r="16" spans="1:32" ht="30" customHeight="1">
      <c r="A16" s="71">
        <v>7</v>
      </c>
      <c r="B16" s="72" t="s">
        <v>89</v>
      </c>
      <c r="C16" s="76">
        <v>23</v>
      </c>
      <c r="D16" s="74">
        <v>5547109200.2021704</v>
      </c>
      <c r="E16" s="74">
        <v>0</v>
      </c>
      <c r="F16" s="75">
        <f t="shared" si="2"/>
        <v>5547109200.2021704</v>
      </c>
      <c r="G16" s="74">
        <v>37138438</v>
      </c>
      <c r="H16" s="74">
        <v>0</v>
      </c>
      <c r="I16" s="74">
        <f>1240816645.01-H16-G16</f>
        <v>1203678207.01</v>
      </c>
      <c r="J16" s="74">
        <f t="shared" si="3"/>
        <v>4306292555.1921701</v>
      </c>
      <c r="K16" s="74">
        <v>153612254.774829</v>
      </c>
      <c r="L16" s="74">
        <f t="shared" si="6"/>
        <v>76806127.3874145</v>
      </c>
      <c r="M16" s="74">
        <f t="shared" si="4"/>
        <v>76806127.3874145</v>
      </c>
      <c r="N16" s="74">
        <v>2072628591.526</v>
      </c>
      <c r="O16" s="86">
        <v>0</v>
      </c>
      <c r="P16" s="74">
        <f t="shared" si="5"/>
        <v>2072628591.526</v>
      </c>
      <c r="Q16" s="86">
        <f t="shared" si="0"/>
        <v>7773350046.5029993</v>
      </c>
      <c r="R16" s="91">
        <f t="shared" si="1"/>
        <v>6455727274.1055851</v>
      </c>
      <c r="S16" s="71">
        <v>7</v>
      </c>
      <c r="AF16" s="84">
        <v>0</v>
      </c>
    </row>
    <row r="17" spans="1:32" ht="30" customHeight="1">
      <c r="A17" s="71">
        <v>8</v>
      </c>
      <c r="B17" s="72" t="s">
        <v>90</v>
      </c>
      <c r="C17" s="76">
        <v>27</v>
      </c>
      <c r="D17" s="74">
        <v>6145402015.3298597</v>
      </c>
      <c r="E17" s="74">
        <v>0</v>
      </c>
      <c r="F17" s="75">
        <f t="shared" si="2"/>
        <v>6145402015.3298597</v>
      </c>
      <c r="G17" s="74">
        <v>23242642.989999998</v>
      </c>
      <c r="H17" s="74">
        <v>0</v>
      </c>
      <c r="I17" s="74">
        <f>779682538-H17-G17</f>
        <v>756439895.00999999</v>
      </c>
      <c r="J17" s="74">
        <f t="shared" si="3"/>
        <v>5365719477.3298597</v>
      </c>
      <c r="K17" s="74">
        <v>170180363.50144199</v>
      </c>
      <c r="L17" s="74">
        <v>0</v>
      </c>
      <c r="M17" s="74">
        <f t="shared" si="4"/>
        <v>170180363.50144199</v>
      </c>
      <c r="N17" s="74">
        <v>2103093591.8649001</v>
      </c>
      <c r="O17" s="86">
        <v>0</v>
      </c>
      <c r="P17" s="74">
        <f t="shared" si="5"/>
        <v>2103093591.8649001</v>
      </c>
      <c r="Q17" s="86">
        <f t="shared" si="0"/>
        <v>8418675970.6962013</v>
      </c>
      <c r="R17" s="91">
        <f t="shared" si="1"/>
        <v>7638993432.6962013</v>
      </c>
      <c r="S17" s="71">
        <v>8</v>
      </c>
      <c r="AF17" s="84">
        <v>0</v>
      </c>
    </row>
    <row r="18" spans="1:32" ht="30" customHeight="1">
      <c r="A18" s="71">
        <v>9</v>
      </c>
      <c r="B18" s="72" t="s">
        <v>91</v>
      </c>
      <c r="C18" s="76">
        <v>18</v>
      </c>
      <c r="D18" s="74">
        <v>4973858435.7929401</v>
      </c>
      <c r="E18" s="74">
        <v>0</v>
      </c>
      <c r="F18" s="75">
        <f t="shared" si="2"/>
        <v>4973858435.7929401</v>
      </c>
      <c r="G18" s="74">
        <v>688057267.88</v>
      </c>
      <c r="H18" s="74">
        <v>0</v>
      </c>
      <c r="I18" s="74">
        <f>1632386009.9-H18-G18</f>
        <v>944328742.0200001</v>
      </c>
      <c r="J18" s="74">
        <f t="shared" si="3"/>
        <v>3341472425.89294</v>
      </c>
      <c r="K18" s="74">
        <v>137737618.22195801</v>
      </c>
      <c r="L18" s="74">
        <f t="shared" si="6"/>
        <v>68868809.110979006</v>
      </c>
      <c r="M18" s="74">
        <f t="shared" si="4"/>
        <v>68868809.110979006</v>
      </c>
      <c r="N18" s="74">
        <v>1807382377.5002999</v>
      </c>
      <c r="O18" s="86">
        <v>0</v>
      </c>
      <c r="P18" s="74">
        <f t="shared" si="5"/>
        <v>1807382377.5002999</v>
      </c>
      <c r="Q18" s="86">
        <f t="shared" si="0"/>
        <v>6918978431.5151978</v>
      </c>
      <c r="R18" s="91">
        <f t="shared" si="1"/>
        <v>5217723612.5042191</v>
      </c>
      <c r="S18" s="71">
        <v>9</v>
      </c>
      <c r="AF18" s="84">
        <v>0</v>
      </c>
    </row>
    <row r="19" spans="1:32" ht="30" customHeight="1">
      <c r="A19" s="71">
        <v>10</v>
      </c>
      <c r="B19" s="72" t="s">
        <v>92</v>
      </c>
      <c r="C19" s="76">
        <v>25</v>
      </c>
      <c r="D19" s="74">
        <v>5022209161.5769796</v>
      </c>
      <c r="E19" s="74">
        <v>30266736931.379299</v>
      </c>
      <c r="F19" s="75">
        <f t="shared" si="2"/>
        <v>35288946092.956276</v>
      </c>
      <c r="G19" s="74">
        <v>30188064.079999998</v>
      </c>
      <c r="H19" s="74">
        <v>166666666.66</v>
      </c>
      <c r="I19" s="74">
        <f>1927576007.07-H19-G19</f>
        <v>1730721276.3299999</v>
      </c>
      <c r="J19" s="74">
        <f t="shared" si="3"/>
        <v>33361370085.886269</v>
      </c>
      <c r="K19" s="74">
        <v>139076561.39751601</v>
      </c>
      <c r="L19" s="74">
        <f t="shared" si="6"/>
        <v>69538280.698758006</v>
      </c>
      <c r="M19" s="74">
        <f t="shared" si="4"/>
        <v>69538280.698758006</v>
      </c>
      <c r="N19" s="74">
        <v>2275377423.5963001</v>
      </c>
      <c r="O19" s="86">
        <v>0</v>
      </c>
      <c r="P19" s="74">
        <f t="shared" si="5"/>
        <v>2275377423.5963001</v>
      </c>
      <c r="Q19" s="86">
        <f t="shared" si="0"/>
        <v>37703400077.950089</v>
      </c>
      <c r="R19" s="91">
        <f t="shared" si="1"/>
        <v>35706285790.181328</v>
      </c>
      <c r="S19" s="71">
        <v>10</v>
      </c>
      <c r="AF19" s="84">
        <v>0</v>
      </c>
    </row>
    <row r="20" spans="1:32" ht="30" customHeight="1">
      <c r="A20" s="71">
        <v>11</v>
      </c>
      <c r="B20" s="72" t="s">
        <v>93</v>
      </c>
      <c r="C20" s="76">
        <v>13</v>
      </c>
      <c r="D20" s="74">
        <v>4425127652.8016796</v>
      </c>
      <c r="E20" s="74">
        <v>0</v>
      </c>
      <c r="F20" s="75">
        <f t="shared" si="2"/>
        <v>4425127652.8016796</v>
      </c>
      <c r="G20" s="74">
        <v>59563435.57</v>
      </c>
      <c r="H20" s="74">
        <v>0</v>
      </c>
      <c r="I20" s="74">
        <f>736522278.85-H20-G20</f>
        <v>676958843.27999997</v>
      </c>
      <c r="J20" s="74">
        <f t="shared" si="3"/>
        <v>3688605373.9516802</v>
      </c>
      <c r="K20" s="74">
        <v>122541996.539123</v>
      </c>
      <c r="L20" s="74">
        <v>0</v>
      </c>
      <c r="M20" s="74">
        <f t="shared" si="4"/>
        <v>122541996.539123</v>
      </c>
      <c r="N20" s="74">
        <v>1764405339.1234</v>
      </c>
      <c r="O20" s="86">
        <v>0</v>
      </c>
      <c r="P20" s="74">
        <f t="shared" si="5"/>
        <v>1764405339.1234</v>
      </c>
      <c r="Q20" s="86">
        <f t="shared" si="0"/>
        <v>6312074988.4642019</v>
      </c>
      <c r="R20" s="91">
        <f t="shared" si="1"/>
        <v>5575552709.6142035</v>
      </c>
      <c r="S20" s="71">
        <v>11</v>
      </c>
      <c r="AF20" s="84">
        <v>0</v>
      </c>
    </row>
    <row r="21" spans="1:32" ht="30" customHeight="1">
      <c r="A21" s="71">
        <v>12</v>
      </c>
      <c r="B21" s="72" t="s">
        <v>94</v>
      </c>
      <c r="C21" s="76">
        <v>18</v>
      </c>
      <c r="D21" s="74">
        <v>4624967609.7781696</v>
      </c>
      <c r="E21" s="74">
        <v>4145726071.0187001</v>
      </c>
      <c r="F21" s="75">
        <f t="shared" si="2"/>
        <v>8770693680.7968693</v>
      </c>
      <c r="G21" s="74">
        <v>186112935.30000001</v>
      </c>
      <c r="H21" s="74">
        <v>0</v>
      </c>
      <c r="I21" s="74">
        <f>1401185868.05-H21-G21</f>
        <v>1215072932.75</v>
      </c>
      <c r="J21" s="74">
        <f t="shared" si="3"/>
        <v>7369507812.7468691</v>
      </c>
      <c r="K21" s="74">
        <v>128076026.116934</v>
      </c>
      <c r="L21" s="74">
        <f t="shared" si="6"/>
        <v>64038013.058467001</v>
      </c>
      <c r="M21" s="74">
        <f t="shared" si="4"/>
        <v>64038013.058467001</v>
      </c>
      <c r="N21" s="74">
        <v>2118197229.1089001</v>
      </c>
      <c r="O21" s="86">
        <v>0</v>
      </c>
      <c r="P21" s="74">
        <f t="shared" si="5"/>
        <v>2118197229.1089001</v>
      </c>
      <c r="Q21" s="86">
        <f t="shared" si="0"/>
        <v>11016966936.022703</v>
      </c>
      <c r="R21" s="91">
        <f t="shared" si="1"/>
        <v>9551743054.9142361</v>
      </c>
      <c r="S21" s="71">
        <v>12</v>
      </c>
      <c r="AF21" s="84">
        <v>0</v>
      </c>
    </row>
    <row r="22" spans="1:32" ht="30" customHeight="1">
      <c r="A22" s="71">
        <v>13</v>
      </c>
      <c r="B22" s="72" t="s">
        <v>95</v>
      </c>
      <c r="C22" s="76">
        <v>16</v>
      </c>
      <c r="D22" s="74">
        <v>4422630579.0556803</v>
      </c>
      <c r="E22" s="74">
        <v>0</v>
      </c>
      <c r="F22" s="75">
        <f t="shared" si="2"/>
        <v>4422630579.0556803</v>
      </c>
      <c r="G22" s="74">
        <v>119376183.34</v>
      </c>
      <c r="H22" s="74">
        <v>345000000</v>
      </c>
      <c r="I22" s="74">
        <f>1390578313.16-H22-G22</f>
        <v>926202129.82000005</v>
      </c>
      <c r="J22" s="74">
        <f t="shared" si="3"/>
        <v>3032052265.89568</v>
      </c>
      <c r="K22" s="74">
        <v>122472846.804619</v>
      </c>
      <c r="L22" s="74">
        <v>0</v>
      </c>
      <c r="M22" s="74">
        <f t="shared" si="4"/>
        <v>122472846.804619</v>
      </c>
      <c r="N22" s="74">
        <v>1747289429.2625999</v>
      </c>
      <c r="O22" s="86">
        <v>0</v>
      </c>
      <c r="P22" s="74">
        <f t="shared" si="5"/>
        <v>1747289429.2625999</v>
      </c>
      <c r="Q22" s="86">
        <f t="shared" si="0"/>
        <v>6292392855.1228991</v>
      </c>
      <c r="R22" s="91">
        <f t="shared" si="1"/>
        <v>4901814541.9628983</v>
      </c>
      <c r="S22" s="71">
        <v>13</v>
      </c>
      <c r="AF22" s="84">
        <v>0</v>
      </c>
    </row>
    <row r="23" spans="1:32" ht="30" customHeight="1">
      <c r="A23" s="71">
        <v>14</v>
      </c>
      <c r="B23" s="72" t="s">
        <v>96</v>
      </c>
      <c r="C23" s="76">
        <v>17</v>
      </c>
      <c r="D23" s="74">
        <v>4974287713.35812</v>
      </c>
      <c r="E23" s="74">
        <v>0</v>
      </c>
      <c r="F23" s="75">
        <f t="shared" si="2"/>
        <v>4974287713.35812</v>
      </c>
      <c r="G23" s="74">
        <v>102170686.88</v>
      </c>
      <c r="H23" s="74">
        <v>0</v>
      </c>
      <c r="I23" s="74">
        <f>628046998.67-H23-G23</f>
        <v>525876311.78999996</v>
      </c>
      <c r="J23" s="74">
        <f t="shared" si="3"/>
        <v>4346240714.6881199</v>
      </c>
      <c r="K23" s="74">
        <v>137749505.90837899</v>
      </c>
      <c r="L23" s="74">
        <v>0</v>
      </c>
      <c r="M23" s="74">
        <f t="shared" si="4"/>
        <v>137749505.90837899</v>
      </c>
      <c r="N23" s="74">
        <v>1997441818.8534</v>
      </c>
      <c r="O23" s="86">
        <v>0</v>
      </c>
      <c r="P23" s="74">
        <f t="shared" si="5"/>
        <v>1997441818.8534</v>
      </c>
      <c r="Q23" s="86">
        <f t="shared" si="0"/>
        <v>7109479038.1198988</v>
      </c>
      <c r="R23" s="91">
        <f t="shared" si="1"/>
        <v>6481432039.4498987</v>
      </c>
      <c r="S23" s="71">
        <v>14</v>
      </c>
      <c r="AF23" s="84">
        <v>0</v>
      </c>
    </row>
    <row r="24" spans="1:32" ht="30" customHeight="1">
      <c r="A24" s="71">
        <v>15</v>
      </c>
      <c r="B24" s="72" t="s">
        <v>97</v>
      </c>
      <c r="C24" s="76">
        <v>11</v>
      </c>
      <c r="D24" s="74">
        <v>4658966749.0766401</v>
      </c>
      <c r="E24" s="74">
        <v>0</v>
      </c>
      <c r="F24" s="75">
        <f t="shared" si="2"/>
        <v>4658966749.0766401</v>
      </c>
      <c r="G24" s="74">
        <v>78856129.120000005</v>
      </c>
      <c r="H24" s="74">
        <v>898859918.29999995</v>
      </c>
      <c r="I24" s="74">
        <f>1619880575.55-H24-G24</f>
        <v>642164528.13</v>
      </c>
      <c r="J24" s="74">
        <f t="shared" si="3"/>
        <v>3039086173.5266399</v>
      </c>
      <c r="K24" s="74">
        <v>129017540.743661</v>
      </c>
      <c r="L24" s="74">
        <v>0</v>
      </c>
      <c r="M24" s="74">
        <f t="shared" si="4"/>
        <v>129017540.743661</v>
      </c>
      <c r="N24" s="74">
        <v>1729856219.6930001</v>
      </c>
      <c r="O24" s="86">
        <v>0</v>
      </c>
      <c r="P24" s="74">
        <f t="shared" si="5"/>
        <v>1729856219.6930001</v>
      </c>
      <c r="Q24" s="86">
        <f t="shared" si="0"/>
        <v>6517840509.5133009</v>
      </c>
      <c r="R24" s="91">
        <f t="shared" si="1"/>
        <v>4897959933.9633007</v>
      </c>
      <c r="S24" s="71">
        <v>15</v>
      </c>
      <c r="AF24" s="84">
        <v>0</v>
      </c>
    </row>
    <row r="25" spans="1:32" ht="30" customHeight="1">
      <c r="A25" s="71">
        <v>16</v>
      </c>
      <c r="B25" s="72" t="s">
        <v>98</v>
      </c>
      <c r="C25" s="76">
        <v>27</v>
      </c>
      <c r="D25" s="74">
        <v>5142681136.1318102</v>
      </c>
      <c r="E25" s="74">
        <v>1807181141.7936001</v>
      </c>
      <c r="F25" s="75">
        <f t="shared" si="2"/>
        <v>6949862277.9254103</v>
      </c>
      <c r="G25" s="74">
        <v>59275325.909999996</v>
      </c>
      <c r="H25" s="74">
        <v>0</v>
      </c>
      <c r="I25" s="74">
        <f>1976761374.87-H25-G25</f>
        <v>1917486048.9599998</v>
      </c>
      <c r="J25" s="74">
        <f t="shared" si="3"/>
        <v>4973100903.0554104</v>
      </c>
      <c r="K25" s="74">
        <v>142412708.385189</v>
      </c>
      <c r="L25" s="74">
        <f t="shared" ref="L25" si="7">K25/2</f>
        <v>71206354.192594498</v>
      </c>
      <c r="M25" s="74">
        <f t="shared" si="4"/>
        <v>71206354.192594498</v>
      </c>
      <c r="N25" s="74">
        <v>2016503495.885</v>
      </c>
      <c r="O25" s="86">
        <v>0</v>
      </c>
      <c r="P25" s="74">
        <f t="shared" si="5"/>
        <v>2016503495.885</v>
      </c>
      <c r="Q25" s="86">
        <f t="shared" si="0"/>
        <v>9108778482.1955986</v>
      </c>
      <c r="R25" s="91">
        <f t="shared" si="1"/>
        <v>7060810753.1330051</v>
      </c>
      <c r="S25" s="71">
        <v>16</v>
      </c>
      <c r="AF25" s="84">
        <v>0</v>
      </c>
    </row>
    <row r="26" spans="1:32" ht="30" customHeight="1">
      <c r="A26" s="71">
        <v>17</v>
      </c>
      <c r="B26" s="72" t="s">
        <v>99</v>
      </c>
      <c r="C26" s="76">
        <v>27</v>
      </c>
      <c r="D26" s="74">
        <v>5531430618.6593304</v>
      </c>
      <c r="E26" s="74">
        <v>0</v>
      </c>
      <c r="F26" s="75">
        <f t="shared" si="2"/>
        <v>5531430618.6593304</v>
      </c>
      <c r="G26" s="74">
        <v>37310998.979999997</v>
      </c>
      <c r="H26" s="74">
        <v>0</v>
      </c>
      <c r="I26" s="74">
        <f>508620807.36-H26-G26</f>
        <v>471309808.38</v>
      </c>
      <c r="J26" s="74">
        <f t="shared" si="3"/>
        <v>5022809811.2993307</v>
      </c>
      <c r="K26" s="74">
        <v>153178078.67056599</v>
      </c>
      <c r="L26" s="74">
        <v>0</v>
      </c>
      <c r="M26" s="74">
        <f t="shared" si="4"/>
        <v>153178078.67056599</v>
      </c>
      <c r="N26" s="74">
        <v>2159221226.4713998</v>
      </c>
      <c r="O26" s="86">
        <v>0</v>
      </c>
      <c r="P26" s="74">
        <f t="shared" si="5"/>
        <v>2159221226.4713998</v>
      </c>
      <c r="Q26" s="86">
        <f t="shared" si="0"/>
        <v>7843829923.8012962</v>
      </c>
      <c r="R26" s="91">
        <f t="shared" si="1"/>
        <v>7335209116.4412956</v>
      </c>
      <c r="S26" s="71">
        <v>17</v>
      </c>
      <c r="AF26" s="84">
        <v>0</v>
      </c>
    </row>
    <row r="27" spans="1:32" ht="30" customHeight="1">
      <c r="A27" s="71">
        <v>18</v>
      </c>
      <c r="B27" s="72" t="s">
        <v>100</v>
      </c>
      <c r="C27" s="76">
        <v>23</v>
      </c>
      <c r="D27" s="74">
        <v>6480714332.8964796</v>
      </c>
      <c r="E27" s="74">
        <v>0</v>
      </c>
      <c r="F27" s="75">
        <f t="shared" si="2"/>
        <v>6480714332.8964796</v>
      </c>
      <c r="G27" s="74">
        <v>887549113.40999997</v>
      </c>
      <c r="H27" s="74">
        <v>0</v>
      </c>
      <c r="I27" s="74">
        <f>1686945085.31-H27-G27</f>
        <v>799395971.89999998</v>
      </c>
      <c r="J27" s="74">
        <f t="shared" si="3"/>
        <v>4793769247.5864801</v>
      </c>
      <c r="K27" s="74">
        <v>179465935.372518</v>
      </c>
      <c r="L27" s="74">
        <v>0</v>
      </c>
      <c r="M27" s="74">
        <f t="shared" si="4"/>
        <v>179465935.372518</v>
      </c>
      <c r="N27" s="74">
        <v>2515057250.2198</v>
      </c>
      <c r="O27" s="86">
        <v>0</v>
      </c>
      <c r="P27" s="74">
        <f t="shared" si="5"/>
        <v>2515057250.2198</v>
      </c>
      <c r="Q27" s="86">
        <f t="shared" si="0"/>
        <v>9175237518.4887962</v>
      </c>
      <c r="R27" s="91">
        <f t="shared" si="1"/>
        <v>7488292433.1787977</v>
      </c>
      <c r="S27" s="71">
        <v>18</v>
      </c>
      <c r="AF27" s="84">
        <v>0</v>
      </c>
    </row>
    <row r="28" spans="1:32" ht="30" customHeight="1">
      <c r="A28" s="71">
        <v>19</v>
      </c>
      <c r="B28" s="72" t="s">
        <v>101</v>
      </c>
      <c r="C28" s="76">
        <v>44</v>
      </c>
      <c r="D28" s="74">
        <v>7845626197.1069803</v>
      </c>
      <c r="E28" s="74">
        <v>0</v>
      </c>
      <c r="F28" s="75">
        <f t="shared" si="2"/>
        <v>7845626197.1069803</v>
      </c>
      <c r="G28" s="74">
        <v>112192864.16</v>
      </c>
      <c r="H28" s="74">
        <v>292615190</v>
      </c>
      <c r="I28" s="74">
        <f>1571078678.62-H28-G28</f>
        <v>1166270624.4599998</v>
      </c>
      <c r="J28" s="74">
        <f t="shared" si="3"/>
        <v>6274547518.4869804</v>
      </c>
      <c r="K28" s="74">
        <v>217263494.689116</v>
      </c>
      <c r="L28" s="74">
        <v>0</v>
      </c>
      <c r="M28" s="74">
        <f t="shared" si="4"/>
        <v>217263494.689116</v>
      </c>
      <c r="N28" s="74">
        <v>3517871642.9078999</v>
      </c>
      <c r="O28" s="86">
        <v>0</v>
      </c>
      <c r="P28" s="74">
        <f t="shared" si="5"/>
        <v>3517871642.9078999</v>
      </c>
      <c r="Q28" s="86">
        <f t="shared" si="0"/>
        <v>11580761334.703997</v>
      </c>
      <c r="R28" s="91">
        <f t="shared" si="1"/>
        <v>10009682656.083996</v>
      </c>
      <c r="S28" s="71">
        <v>19</v>
      </c>
      <c r="AF28" s="84">
        <v>0</v>
      </c>
    </row>
    <row r="29" spans="1:32" ht="30" customHeight="1">
      <c r="A29" s="71">
        <v>20</v>
      </c>
      <c r="B29" s="72" t="s">
        <v>102</v>
      </c>
      <c r="C29" s="76">
        <v>34</v>
      </c>
      <c r="D29" s="74">
        <v>6080137016.6046</v>
      </c>
      <c r="E29" s="74">
        <v>0</v>
      </c>
      <c r="F29" s="75">
        <f t="shared" si="2"/>
        <v>6080137016.6046</v>
      </c>
      <c r="G29" s="74">
        <v>129426954.56</v>
      </c>
      <c r="H29" s="74">
        <v>850000000</v>
      </c>
      <c r="I29" s="74">
        <f>1544059053.35-H29-G29</f>
        <v>564632098.78999996</v>
      </c>
      <c r="J29" s="74">
        <f t="shared" si="3"/>
        <v>4536077963.2545996</v>
      </c>
      <c r="K29" s="74">
        <v>168373025.07520401</v>
      </c>
      <c r="L29" s="74">
        <v>0</v>
      </c>
      <c r="M29" s="74">
        <f t="shared" si="4"/>
        <v>168373025.07520401</v>
      </c>
      <c r="N29" s="74">
        <v>2380504476.0570002</v>
      </c>
      <c r="O29" s="86">
        <v>0</v>
      </c>
      <c r="P29" s="74">
        <f t="shared" si="5"/>
        <v>2380504476.0570002</v>
      </c>
      <c r="Q29" s="86">
        <f t="shared" si="0"/>
        <v>8629014517.736805</v>
      </c>
      <c r="R29" s="91">
        <f t="shared" si="1"/>
        <v>7084955464.3868036</v>
      </c>
      <c r="S29" s="71">
        <v>20</v>
      </c>
      <c r="AF29" s="84">
        <v>0</v>
      </c>
    </row>
    <row r="30" spans="1:32" ht="30" customHeight="1">
      <c r="A30" s="71">
        <v>21</v>
      </c>
      <c r="B30" s="72" t="s">
        <v>103</v>
      </c>
      <c r="C30" s="76">
        <v>21</v>
      </c>
      <c r="D30" s="74">
        <v>5222868031.3730001</v>
      </c>
      <c r="E30" s="74">
        <v>0</v>
      </c>
      <c r="F30" s="75">
        <f t="shared" si="2"/>
        <v>5222868031.3730001</v>
      </c>
      <c r="G30" s="74">
        <v>62818644.609999999</v>
      </c>
      <c r="H30" s="74">
        <v>0</v>
      </c>
      <c r="I30" s="74">
        <f>556690282.11-H30-G30</f>
        <v>493871637.5</v>
      </c>
      <c r="J30" s="74">
        <f t="shared" si="3"/>
        <v>4666177749.2630005</v>
      </c>
      <c r="K30" s="74">
        <v>144633268.56109899</v>
      </c>
      <c r="L30" s="74">
        <f t="shared" ref="L30:L32" si="8">K30/2</f>
        <v>72316634.280549496</v>
      </c>
      <c r="M30" s="74">
        <f t="shared" si="4"/>
        <v>72316634.280549496</v>
      </c>
      <c r="N30" s="74">
        <v>1912404039.7688999</v>
      </c>
      <c r="O30" s="86">
        <v>0</v>
      </c>
      <c r="P30" s="74">
        <f t="shared" si="5"/>
        <v>1912404039.7688999</v>
      </c>
      <c r="Q30" s="86">
        <f t="shared" si="0"/>
        <v>7279905339.7029991</v>
      </c>
      <c r="R30" s="91">
        <f t="shared" si="1"/>
        <v>6650898423.3124495</v>
      </c>
      <c r="S30" s="71">
        <v>21</v>
      </c>
      <c r="AF30" s="84">
        <v>0</v>
      </c>
    </row>
    <row r="31" spans="1:32" ht="30" customHeight="1">
      <c r="A31" s="71">
        <v>22</v>
      </c>
      <c r="B31" s="72" t="s">
        <v>104</v>
      </c>
      <c r="C31" s="76">
        <v>21</v>
      </c>
      <c r="D31" s="74">
        <v>5466766095.09972</v>
      </c>
      <c r="E31" s="74">
        <v>0</v>
      </c>
      <c r="F31" s="75">
        <f t="shared" si="2"/>
        <v>5466766095.09972</v>
      </c>
      <c r="G31" s="74">
        <v>61525901.149999999</v>
      </c>
      <c r="H31" s="74">
        <v>117593824.09999999</v>
      </c>
      <c r="I31" s="74">
        <f>1336953018.37-H31-G31</f>
        <v>1157833293.1199999</v>
      </c>
      <c r="J31" s="74">
        <f t="shared" si="3"/>
        <v>4129813076.7297201</v>
      </c>
      <c r="K31" s="74">
        <v>151387368.787377</v>
      </c>
      <c r="L31" s="74">
        <f t="shared" si="8"/>
        <v>75693684.3936885</v>
      </c>
      <c r="M31" s="74">
        <f t="shared" si="4"/>
        <v>75693684.3936885</v>
      </c>
      <c r="N31" s="74">
        <v>1890179406.3315001</v>
      </c>
      <c r="O31" s="86">
        <v>0</v>
      </c>
      <c r="P31" s="74">
        <f t="shared" si="5"/>
        <v>1890179406.3315001</v>
      </c>
      <c r="Q31" s="86">
        <f t="shared" si="0"/>
        <v>7508332870.2185974</v>
      </c>
      <c r="R31" s="91">
        <f t="shared" si="1"/>
        <v>6095686167.4549084</v>
      </c>
      <c r="S31" s="71">
        <v>22</v>
      </c>
      <c r="AF31" s="84">
        <v>0</v>
      </c>
    </row>
    <row r="32" spans="1:32" ht="30" customHeight="1">
      <c r="A32" s="71">
        <v>23</v>
      </c>
      <c r="B32" s="72" t="s">
        <v>105</v>
      </c>
      <c r="C32" s="76">
        <v>16</v>
      </c>
      <c r="D32" s="74">
        <v>4402912782.7207003</v>
      </c>
      <c r="E32" s="74">
        <v>0</v>
      </c>
      <c r="F32" s="75">
        <f t="shared" si="2"/>
        <v>4402912782.7207003</v>
      </c>
      <c r="G32" s="74">
        <v>52544270.079999998</v>
      </c>
      <c r="H32" s="74">
        <v>632203900</v>
      </c>
      <c r="I32" s="74">
        <f>3998675848.36-H32-G32</f>
        <v>3313927678.2800002</v>
      </c>
      <c r="J32" s="74">
        <f t="shared" si="3"/>
        <v>404236934.36070013</v>
      </c>
      <c r="K32" s="74">
        <v>121926815.521496</v>
      </c>
      <c r="L32" s="74">
        <f t="shared" si="8"/>
        <v>60963407.760747999</v>
      </c>
      <c r="M32" s="74">
        <f t="shared" si="4"/>
        <v>60963407.760747999</v>
      </c>
      <c r="N32" s="74">
        <v>1778831417.2746999</v>
      </c>
      <c r="O32" s="86">
        <v>0</v>
      </c>
      <c r="P32" s="74">
        <f t="shared" si="5"/>
        <v>1778831417.2746999</v>
      </c>
      <c r="Q32" s="86">
        <f t="shared" si="0"/>
        <v>6303671015.5168962</v>
      </c>
      <c r="R32" s="91">
        <f t="shared" si="1"/>
        <v>2244031759.3961482</v>
      </c>
      <c r="S32" s="71">
        <v>23</v>
      </c>
      <c r="AF32" s="84">
        <v>0</v>
      </c>
    </row>
    <row r="33" spans="1:32" ht="30" customHeight="1">
      <c r="A33" s="71">
        <v>24</v>
      </c>
      <c r="B33" s="72" t="s">
        <v>106</v>
      </c>
      <c r="C33" s="76">
        <v>20</v>
      </c>
      <c r="D33" s="74">
        <v>6626140292.1358805</v>
      </c>
      <c r="E33" s="74">
        <v>0</v>
      </c>
      <c r="F33" s="75">
        <f t="shared" si="2"/>
        <v>6626140292.1358805</v>
      </c>
      <c r="G33" s="74">
        <v>1815182732.5799999</v>
      </c>
      <c r="H33" s="74">
        <v>2000000000</v>
      </c>
      <c r="I33" s="74">
        <f>3998675848.36-H33-G33</f>
        <v>183493115.78000021</v>
      </c>
      <c r="J33" s="74">
        <f t="shared" si="3"/>
        <v>2627464443.7758803</v>
      </c>
      <c r="K33" s="74">
        <v>183493115.782224</v>
      </c>
      <c r="L33" s="74">
        <v>0</v>
      </c>
      <c r="M33" s="74">
        <f t="shared" si="4"/>
        <v>183493115.782224</v>
      </c>
      <c r="N33" s="74">
        <v>12722484518.926201</v>
      </c>
      <c r="O33" s="87">
        <v>1000000000</v>
      </c>
      <c r="P33" s="74">
        <f t="shared" si="5"/>
        <v>11722484518.926201</v>
      </c>
      <c r="Q33" s="86">
        <f t="shared" si="0"/>
        <v>19532117926.844307</v>
      </c>
      <c r="R33" s="91">
        <f t="shared" si="1"/>
        <v>14533442078.484306</v>
      </c>
      <c r="S33" s="71">
        <v>24</v>
      </c>
      <c r="AF33" s="84">
        <v>0</v>
      </c>
    </row>
    <row r="34" spans="1:32" ht="30" customHeight="1">
      <c r="A34" s="71">
        <v>25</v>
      </c>
      <c r="B34" s="72" t="s">
        <v>107</v>
      </c>
      <c r="C34" s="76">
        <v>13</v>
      </c>
      <c r="D34" s="74">
        <v>4561427103.6785002</v>
      </c>
      <c r="E34" s="74">
        <v>0</v>
      </c>
      <c r="F34" s="75">
        <f t="shared" si="2"/>
        <v>4561427103.6785002</v>
      </c>
      <c r="G34" s="74">
        <v>36631748.729999997</v>
      </c>
      <c r="H34" s="74">
        <v>124722672.83</v>
      </c>
      <c r="I34" s="74">
        <f>566883098.79-H34-G34</f>
        <v>405528677.22999996</v>
      </c>
      <c r="J34" s="74">
        <f t="shared" si="3"/>
        <v>3994544004.8885007</v>
      </c>
      <c r="K34" s="74">
        <v>126316442.871097</v>
      </c>
      <c r="L34" s="74">
        <v>0</v>
      </c>
      <c r="M34" s="74">
        <f t="shared" si="4"/>
        <v>126316442.871097</v>
      </c>
      <c r="N34" s="74">
        <v>1644801630.9222</v>
      </c>
      <c r="O34" s="86">
        <v>0</v>
      </c>
      <c r="P34" s="74">
        <f t="shared" si="5"/>
        <v>1644801630.9222</v>
      </c>
      <c r="Q34" s="86">
        <f t="shared" si="0"/>
        <v>6332545177.471797</v>
      </c>
      <c r="R34" s="91">
        <f t="shared" si="1"/>
        <v>5765662078.681798</v>
      </c>
      <c r="S34" s="71">
        <v>25</v>
      </c>
      <c r="AF34" s="84">
        <v>0</v>
      </c>
    </row>
    <row r="35" spans="1:32" ht="30" customHeight="1">
      <c r="A35" s="71">
        <v>26</v>
      </c>
      <c r="B35" s="72" t="s">
        <v>108</v>
      </c>
      <c r="C35" s="76">
        <v>25</v>
      </c>
      <c r="D35" s="74">
        <v>5858950021.6178102</v>
      </c>
      <c r="E35" s="74">
        <v>0</v>
      </c>
      <c r="F35" s="75">
        <f t="shared" si="2"/>
        <v>5858950021.6178102</v>
      </c>
      <c r="G35" s="74">
        <v>86589122.040000007</v>
      </c>
      <c r="H35" s="74">
        <v>810734593.96000004</v>
      </c>
      <c r="I35" s="74">
        <f>1494304938.85-H35-G35</f>
        <v>596981222.8499999</v>
      </c>
      <c r="J35" s="74">
        <f t="shared" si="3"/>
        <v>4364645082.7678108</v>
      </c>
      <c r="K35" s="74">
        <v>162247846.75249299</v>
      </c>
      <c r="L35" s="74">
        <f t="shared" ref="L35:L37" si="9">K35/2</f>
        <v>81123923.376246497</v>
      </c>
      <c r="M35" s="74">
        <f t="shared" si="4"/>
        <v>81123923.376246497</v>
      </c>
      <c r="N35" s="74">
        <v>2071336263.2844</v>
      </c>
      <c r="O35" s="86">
        <v>0</v>
      </c>
      <c r="P35" s="74">
        <f t="shared" si="5"/>
        <v>2071336263.2844</v>
      </c>
      <c r="Q35" s="86">
        <f t="shared" si="0"/>
        <v>8092534131.6547031</v>
      </c>
      <c r="R35" s="91">
        <f t="shared" si="1"/>
        <v>6517105269.4284573</v>
      </c>
      <c r="S35" s="71">
        <v>26</v>
      </c>
      <c r="AF35" s="84">
        <v>0</v>
      </c>
    </row>
    <row r="36" spans="1:32" ht="30" customHeight="1">
      <c r="A36" s="71">
        <v>27</v>
      </c>
      <c r="B36" s="72" t="s">
        <v>109</v>
      </c>
      <c r="C36" s="76">
        <v>20</v>
      </c>
      <c r="D36" s="74">
        <v>4595304830.8260202</v>
      </c>
      <c r="E36" s="74">
        <v>0</v>
      </c>
      <c r="F36" s="75">
        <f t="shared" si="2"/>
        <v>4595304830.8260202</v>
      </c>
      <c r="G36" s="74">
        <v>229891243.87</v>
      </c>
      <c r="H36" s="74">
        <v>385796101</v>
      </c>
      <c r="I36" s="74">
        <f>2187431177.91-H36-G36</f>
        <v>1571743833.04</v>
      </c>
      <c r="J36" s="74">
        <f t="shared" si="3"/>
        <v>2407873652.9160204</v>
      </c>
      <c r="K36" s="74">
        <v>127254595.315182</v>
      </c>
      <c r="L36" s="74">
        <v>0</v>
      </c>
      <c r="M36" s="74">
        <f t="shared" si="4"/>
        <v>127254595.315182</v>
      </c>
      <c r="N36" s="74">
        <v>2089233347.0346999</v>
      </c>
      <c r="O36" s="86">
        <v>0</v>
      </c>
      <c r="P36" s="74">
        <f t="shared" si="5"/>
        <v>2089233347.0346999</v>
      </c>
      <c r="Q36" s="86">
        <f t="shared" si="0"/>
        <v>6811792773.1759014</v>
      </c>
      <c r="R36" s="91">
        <f t="shared" si="1"/>
        <v>4624361595.2659025</v>
      </c>
      <c r="S36" s="71">
        <v>27</v>
      </c>
      <c r="AF36" s="84">
        <v>0</v>
      </c>
    </row>
    <row r="37" spans="1:32" ht="30" customHeight="1">
      <c r="A37" s="71">
        <v>28</v>
      </c>
      <c r="B37" s="72" t="s">
        <v>110</v>
      </c>
      <c r="C37" s="76">
        <v>18</v>
      </c>
      <c r="D37" s="74">
        <v>4604408644.3396301</v>
      </c>
      <c r="E37" s="74">
        <v>2579410265.0320001</v>
      </c>
      <c r="F37" s="75">
        <f t="shared" si="2"/>
        <v>7183818909.3716297</v>
      </c>
      <c r="G37" s="74">
        <v>80789545.950000003</v>
      </c>
      <c r="H37" s="74">
        <v>644248762.91999996</v>
      </c>
      <c r="I37" s="74">
        <f>1337852263.14-H37-G37</f>
        <v>612813954.2700001</v>
      </c>
      <c r="J37" s="74">
        <f t="shared" si="3"/>
        <v>5845966646.2316294</v>
      </c>
      <c r="K37" s="74">
        <v>127506700.920174</v>
      </c>
      <c r="L37" s="74">
        <f t="shared" si="9"/>
        <v>63753350.460087001</v>
      </c>
      <c r="M37" s="74">
        <f t="shared" si="4"/>
        <v>63753350.460087001</v>
      </c>
      <c r="N37" s="74">
        <v>2224801927.9316001</v>
      </c>
      <c r="O37" s="86">
        <v>0</v>
      </c>
      <c r="P37" s="74">
        <f t="shared" si="5"/>
        <v>2224801927.9316001</v>
      </c>
      <c r="Q37" s="86">
        <f t="shared" si="0"/>
        <v>9536127538.2234039</v>
      </c>
      <c r="R37" s="91">
        <f t="shared" si="1"/>
        <v>8134521924.6233158</v>
      </c>
      <c r="S37" s="71">
        <v>28</v>
      </c>
      <c r="AF37" s="84">
        <v>0</v>
      </c>
    </row>
    <row r="38" spans="1:32" ht="30" customHeight="1">
      <c r="A38" s="71">
        <v>29</v>
      </c>
      <c r="B38" s="72" t="s">
        <v>111</v>
      </c>
      <c r="C38" s="76">
        <v>30</v>
      </c>
      <c r="D38" s="74">
        <v>4511063759.2732897</v>
      </c>
      <c r="E38" s="74">
        <v>0</v>
      </c>
      <c r="F38" s="75">
        <f t="shared" si="2"/>
        <v>4511063759.2732897</v>
      </c>
      <c r="G38" s="74">
        <v>153742654.46000001</v>
      </c>
      <c r="H38" s="74">
        <v>0</v>
      </c>
      <c r="I38" s="74">
        <f>1908618861.38-H38-G38</f>
        <v>1754876206.9200001</v>
      </c>
      <c r="J38" s="74">
        <f t="shared" si="3"/>
        <v>2602444897.8932896</v>
      </c>
      <c r="K38" s="74">
        <v>124921765.641414</v>
      </c>
      <c r="L38" s="74">
        <v>0</v>
      </c>
      <c r="M38" s="74">
        <f t="shared" si="4"/>
        <v>124921765.641414</v>
      </c>
      <c r="N38" s="74">
        <v>1910099963.6896999</v>
      </c>
      <c r="O38" s="86">
        <v>0</v>
      </c>
      <c r="P38" s="74">
        <f t="shared" si="5"/>
        <v>1910099963.6896999</v>
      </c>
      <c r="Q38" s="86">
        <f t="shared" si="0"/>
        <v>6546085488.6044035</v>
      </c>
      <c r="R38" s="91">
        <f t="shared" si="1"/>
        <v>4637466627.2244034</v>
      </c>
      <c r="S38" s="71">
        <v>29</v>
      </c>
      <c r="AF38" s="84">
        <v>0</v>
      </c>
    </row>
    <row r="39" spans="1:32" ht="30" customHeight="1">
      <c r="A39" s="71">
        <v>30</v>
      </c>
      <c r="B39" s="72" t="s">
        <v>112</v>
      </c>
      <c r="C39" s="76">
        <v>33</v>
      </c>
      <c r="D39" s="74">
        <v>5547722089.71033</v>
      </c>
      <c r="E39" s="74">
        <v>0</v>
      </c>
      <c r="F39" s="75">
        <f t="shared" si="2"/>
        <v>5547722089.71033</v>
      </c>
      <c r="G39" s="74">
        <v>337153957.83999997</v>
      </c>
      <c r="H39" s="74">
        <v>0</v>
      </c>
      <c r="I39" s="74">
        <f>1824038203.68-H39-G39</f>
        <v>1486884245.8400002</v>
      </c>
      <c r="J39" s="74">
        <f t="shared" si="3"/>
        <v>3723683886.0303297</v>
      </c>
      <c r="K39" s="74">
        <v>153629227.09967101</v>
      </c>
      <c r="L39" s="74">
        <v>0</v>
      </c>
      <c r="M39" s="74">
        <f t="shared" si="4"/>
        <v>153629227.09967101</v>
      </c>
      <c r="N39" s="74">
        <v>3733004019.7115002</v>
      </c>
      <c r="O39" s="86">
        <v>0</v>
      </c>
      <c r="P39" s="74">
        <f t="shared" si="5"/>
        <v>3733004019.7115002</v>
      </c>
      <c r="Q39" s="86">
        <f t="shared" si="0"/>
        <v>9434355336.5215015</v>
      </c>
      <c r="R39" s="91">
        <f t="shared" si="1"/>
        <v>7610317132.8415012</v>
      </c>
      <c r="S39" s="71">
        <v>30</v>
      </c>
      <c r="AF39" s="84">
        <v>0</v>
      </c>
    </row>
    <row r="40" spans="1:32" ht="30" customHeight="1">
      <c r="A40" s="71">
        <v>31</v>
      </c>
      <c r="B40" s="72" t="s">
        <v>113</v>
      </c>
      <c r="C40" s="76">
        <v>17</v>
      </c>
      <c r="D40" s="74">
        <v>5165112084.5299397</v>
      </c>
      <c r="E40" s="74">
        <v>0</v>
      </c>
      <c r="F40" s="75">
        <f t="shared" si="2"/>
        <v>5165112084.5299397</v>
      </c>
      <c r="G40" s="74">
        <v>38321122.390000001</v>
      </c>
      <c r="H40" s="74">
        <v>1031399422.965</v>
      </c>
      <c r="I40" s="74">
        <f>1938642590.3-H40-G40</f>
        <v>868922044.94499993</v>
      </c>
      <c r="J40" s="74">
        <f t="shared" si="3"/>
        <v>3226469494.2299395</v>
      </c>
      <c r="K40" s="74">
        <v>143033873.11006001</v>
      </c>
      <c r="L40" s="74">
        <f t="shared" ref="L40:L41" si="10">K40/2</f>
        <v>71516936.555030003</v>
      </c>
      <c r="M40" s="74">
        <f t="shared" si="4"/>
        <v>71516936.555030003</v>
      </c>
      <c r="N40" s="74">
        <v>1907779071.4898</v>
      </c>
      <c r="O40" s="86">
        <v>0</v>
      </c>
      <c r="P40" s="74">
        <f t="shared" si="5"/>
        <v>1907779071.4898</v>
      </c>
      <c r="Q40" s="86">
        <f t="shared" si="0"/>
        <v>7215925029.1297989</v>
      </c>
      <c r="R40" s="91">
        <f t="shared" si="1"/>
        <v>5205765502.2747688</v>
      </c>
      <c r="S40" s="71">
        <v>31</v>
      </c>
      <c r="AF40" s="84">
        <v>0</v>
      </c>
    </row>
    <row r="41" spans="1:32" ht="30" customHeight="1">
      <c r="A41" s="71">
        <v>32</v>
      </c>
      <c r="B41" s="72" t="s">
        <v>114</v>
      </c>
      <c r="C41" s="76">
        <v>23</v>
      </c>
      <c r="D41" s="74">
        <v>5334338597.0738802</v>
      </c>
      <c r="E41" s="74">
        <v>17565860447.486401</v>
      </c>
      <c r="F41" s="75">
        <f t="shared" si="2"/>
        <v>22900199044.56028</v>
      </c>
      <c r="G41" s="74">
        <v>215537130.33000001</v>
      </c>
      <c r="H41" s="74">
        <v>0</v>
      </c>
      <c r="I41" s="74">
        <f>1041448331.73-H41-G41</f>
        <v>825911201.39999998</v>
      </c>
      <c r="J41" s="74">
        <f t="shared" si="3"/>
        <v>21858750712.830276</v>
      </c>
      <c r="K41" s="74">
        <v>147720145.76512301</v>
      </c>
      <c r="L41" s="74">
        <f t="shared" si="10"/>
        <v>73860072.882561505</v>
      </c>
      <c r="M41" s="74">
        <f t="shared" si="4"/>
        <v>73860072.882561505</v>
      </c>
      <c r="N41" s="74">
        <v>4979620139.5473003</v>
      </c>
      <c r="O41" s="86">
        <v>0</v>
      </c>
      <c r="P41" s="74">
        <f t="shared" si="5"/>
        <v>4979620139.5473003</v>
      </c>
      <c r="Q41" s="86">
        <f t="shared" si="0"/>
        <v>28027539329.872704</v>
      </c>
      <c r="R41" s="91">
        <f t="shared" si="1"/>
        <v>26912230925.260139</v>
      </c>
      <c r="S41" s="71">
        <v>32</v>
      </c>
      <c r="AF41" s="84">
        <v>0</v>
      </c>
    </row>
    <row r="42" spans="1:32" ht="30" customHeight="1">
      <c r="A42" s="71">
        <v>33</v>
      </c>
      <c r="B42" s="72" t="s">
        <v>115</v>
      </c>
      <c r="C42" s="76">
        <v>23</v>
      </c>
      <c r="D42" s="74">
        <v>5451209780.4506397</v>
      </c>
      <c r="E42" s="74">
        <v>0</v>
      </c>
      <c r="F42" s="75">
        <f t="shared" si="2"/>
        <v>5451209780.4506397</v>
      </c>
      <c r="G42" s="74">
        <v>47078391.210000001</v>
      </c>
      <c r="H42" s="74">
        <v>206017834</v>
      </c>
      <c r="I42" s="74">
        <f>1486922513.95-H42-G42</f>
        <v>1233826288.74</v>
      </c>
      <c r="J42" s="74">
        <f t="shared" si="3"/>
        <v>3964287266.5006399</v>
      </c>
      <c r="K42" s="74">
        <v>150956578.53555599</v>
      </c>
      <c r="L42" s="74">
        <v>0</v>
      </c>
      <c r="M42" s="74">
        <f t="shared" si="4"/>
        <v>150956578.53555599</v>
      </c>
      <c r="N42" s="74">
        <v>2052247375.1940999</v>
      </c>
      <c r="O42" s="86">
        <v>0</v>
      </c>
      <c r="P42" s="74">
        <f t="shared" si="5"/>
        <v>2052247375.1940999</v>
      </c>
      <c r="Q42" s="86">
        <f t="shared" si="0"/>
        <v>7654413734.1802959</v>
      </c>
      <c r="R42" s="91">
        <f t="shared" si="1"/>
        <v>6167491220.2302952</v>
      </c>
      <c r="S42" s="71">
        <v>33</v>
      </c>
      <c r="AF42" s="84">
        <v>0</v>
      </c>
    </row>
    <row r="43" spans="1:32" ht="30" customHeight="1">
      <c r="A43" s="71">
        <v>34</v>
      </c>
      <c r="B43" s="72" t="s">
        <v>116</v>
      </c>
      <c r="C43" s="76">
        <v>16</v>
      </c>
      <c r="D43" s="74">
        <v>4764585104.6480999</v>
      </c>
      <c r="E43" s="74">
        <v>0</v>
      </c>
      <c r="F43" s="75">
        <f t="shared" si="2"/>
        <v>4764585104.6480999</v>
      </c>
      <c r="G43" s="74">
        <v>48169656.329999998</v>
      </c>
      <c r="H43" s="74">
        <v>0</v>
      </c>
      <c r="I43" s="74">
        <f>1132450476.17-H43-G43</f>
        <v>1084280819.8400002</v>
      </c>
      <c r="J43" s="74">
        <f t="shared" si="3"/>
        <v>3632134628.4780998</v>
      </c>
      <c r="K43" s="74">
        <v>131942356.744101</v>
      </c>
      <c r="L43" s="74">
        <v>0</v>
      </c>
      <c r="M43" s="74">
        <f t="shared" si="4"/>
        <v>131942356.744101</v>
      </c>
      <c r="N43" s="74">
        <v>1682116334.4145</v>
      </c>
      <c r="O43" s="86">
        <v>0</v>
      </c>
      <c r="P43" s="74">
        <f t="shared" si="5"/>
        <v>1682116334.4145</v>
      </c>
      <c r="Q43" s="86">
        <f t="shared" si="0"/>
        <v>6578643795.8067007</v>
      </c>
      <c r="R43" s="91">
        <f t="shared" si="1"/>
        <v>5446193319.6367006</v>
      </c>
      <c r="S43" s="71">
        <v>34</v>
      </c>
      <c r="AF43" s="84">
        <v>0</v>
      </c>
    </row>
    <row r="44" spans="1:32" ht="30" customHeight="1">
      <c r="A44" s="71">
        <v>35</v>
      </c>
      <c r="B44" s="72" t="s">
        <v>117</v>
      </c>
      <c r="C44" s="76">
        <v>17</v>
      </c>
      <c r="D44" s="74">
        <v>4911675615.5363598</v>
      </c>
      <c r="E44" s="74">
        <v>0</v>
      </c>
      <c r="F44" s="75">
        <f t="shared" si="2"/>
        <v>4911675615.5363598</v>
      </c>
      <c r="G44" s="74">
        <v>41513146.460000001</v>
      </c>
      <c r="H44" s="74">
        <v>0</v>
      </c>
      <c r="I44" s="74">
        <f>1005989500.43-H44-G44</f>
        <v>964476353.96999991</v>
      </c>
      <c r="J44" s="74">
        <f t="shared" si="3"/>
        <v>3905686115.10636</v>
      </c>
      <c r="K44" s="74">
        <v>136015632.43023801</v>
      </c>
      <c r="L44" s="74">
        <v>0</v>
      </c>
      <c r="M44" s="74">
        <f t="shared" si="4"/>
        <v>136015632.43023801</v>
      </c>
      <c r="N44" s="74">
        <v>1749752498.7776999</v>
      </c>
      <c r="O44" s="86">
        <v>0</v>
      </c>
      <c r="P44" s="74">
        <f t="shared" si="5"/>
        <v>1749752498.7776999</v>
      </c>
      <c r="Q44" s="86">
        <f t="shared" si="0"/>
        <v>6797443746.744297</v>
      </c>
      <c r="R44" s="91">
        <f t="shared" si="1"/>
        <v>5791454246.3142986</v>
      </c>
      <c r="S44" s="71">
        <v>35</v>
      </c>
      <c r="AF44" s="84">
        <v>0</v>
      </c>
    </row>
    <row r="45" spans="1:32" ht="30" customHeight="1">
      <c r="A45" s="71">
        <v>36</v>
      </c>
      <c r="B45" s="72" t="s">
        <v>118</v>
      </c>
      <c r="C45" s="76">
        <v>14</v>
      </c>
      <c r="D45" s="74">
        <v>4922136050.4144201</v>
      </c>
      <c r="E45" s="74">
        <v>0</v>
      </c>
      <c r="F45" s="75">
        <f t="shared" si="2"/>
        <v>4922136050.4144201</v>
      </c>
      <c r="G45" s="74">
        <v>32112054.530000001</v>
      </c>
      <c r="H45" s="74">
        <v>0</v>
      </c>
      <c r="I45" s="74">
        <f>891703664.4-H45-G45</f>
        <v>859591609.87</v>
      </c>
      <c r="J45" s="74">
        <f t="shared" si="3"/>
        <v>4030432386.0144205</v>
      </c>
      <c r="K45" s="74">
        <v>136305306.01147601</v>
      </c>
      <c r="L45" s="74">
        <v>0</v>
      </c>
      <c r="M45" s="74">
        <f t="shared" si="4"/>
        <v>136305306.01147601</v>
      </c>
      <c r="N45" s="74">
        <v>1866743949.2402999</v>
      </c>
      <c r="O45" s="86">
        <v>0</v>
      </c>
      <c r="P45" s="74">
        <f t="shared" si="5"/>
        <v>1866743949.2402999</v>
      </c>
      <c r="Q45" s="86">
        <f t="shared" si="0"/>
        <v>6925185305.6661959</v>
      </c>
      <c r="R45" s="91">
        <f t="shared" si="1"/>
        <v>6033481641.2661963</v>
      </c>
      <c r="S45" s="71">
        <v>36</v>
      </c>
      <c r="AF45" s="84">
        <v>0</v>
      </c>
    </row>
    <row r="46" spans="1:32" ht="30" customHeight="1">
      <c r="A46" s="71"/>
      <c r="B46" s="138" t="s">
        <v>25</v>
      </c>
      <c r="C46" s="139"/>
      <c r="D46" s="78">
        <f t="shared" ref="D46:R46" si="11">SUM(D10:D45)</f>
        <v>187564632663.34973</v>
      </c>
      <c r="E46" s="78">
        <f t="shared" si="11"/>
        <v>97008182549.424301</v>
      </c>
      <c r="F46" s="78">
        <f t="shared" si="11"/>
        <v>284572815212.77411</v>
      </c>
      <c r="G46" s="78">
        <f t="shared" si="11"/>
        <v>6304699404.999999</v>
      </c>
      <c r="H46" s="78">
        <f t="shared" si="11"/>
        <v>8707113886.7350006</v>
      </c>
      <c r="I46" s="78">
        <f t="shared" si="11"/>
        <v>37059288497.425011</v>
      </c>
      <c r="J46" s="78">
        <f t="shared" si="11"/>
        <v>232501713423.61398</v>
      </c>
      <c r="K46" s="78">
        <f t="shared" si="11"/>
        <v>5194097519.908145</v>
      </c>
      <c r="L46" s="78">
        <f t="shared" si="11"/>
        <v>1043270627.9207346</v>
      </c>
      <c r="M46" s="78">
        <f t="shared" si="11"/>
        <v>4150826891.987411</v>
      </c>
      <c r="N46" s="78">
        <f t="shared" si="11"/>
        <v>88583295923.094513</v>
      </c>
      <c r="O46" s="78">
        <f t="shared" si="11"/>
        <v>1000000000</v>
      </c>
      <c r="P46" s="78">
        <f t="shared" si="11"/>
        <v>87583295923.094513</v>
      </c>
      <c r="Q46" s="78">
        <f t="shared" si="11"/>
        <v>378350208655.77679</v>
      </c>
      <c r="R46" s="78">
        <f t="shared" si="11"/>
        <v>324235836238.69586</v>
      </c>
      <c r="S46" s="78"/>
    </row>
    <row r="47" spans="1:32">
      <c r="B47" s="79"/>
      <c r="C47" s="80"/>
      <c r="D47" s="81"/>
      <c r="E47" s="82"/>
      <c r="F47" s="80"/>
      <c r="G47" s="81"/>
      <c r="H47" s="81"/>
      <c r="I47" s="81"/>
      <c r="J47" s="88"/>
      <c r="K47" s="82"/>
      <c r="L47" s="82"/>
      <c r="M47" s="82"/>
      <c r="N47" s="82"/>
      <c r="O47" s="82"/>
      <c r="P47" s="82"/>
      <c r="Q47" s="84"/>
    </row>
    <row r="48" spans="1:32">
      <c r="B48" s="80"/>
      <c r="C48" s="80"/>
      <c r="D48" s="80"/>
      <c r="E48" s="80"/>
      <c r="F48" s="80"/>
      <c r="G48" s="80"/>
      <c r="H48" s="80"/>
      <c r="I48" s="81"/>
      <c r="J48" s="81"/>
      <c r="K48" s="79"/>
      <c r="L48" s="79"/>
      <c r="M48" s="79"/>
      <c r="N48" s="79"/>
      <c r="O48" s="79"/>
      <c r="P48" s="79"/>
      <c r="R48" s="89"/>
    </row>
    <row r="49" spans="1:18">
      <c r="I49" s="84"/>
      <c r="J49" s="89"/>
      <c r="R49" s="84"/>
    </row>
    <row r="50" spans="1:18">
      <c r="C50" s="83"/>
      <c r="E50" s="84"/>
      <c r="I50" s="84"/>
      <c r="J50" s="90"/>
    </row>
    <row r="51" spans="1:18">
      <c r="C51" s="83"/>
      <c r="J51" s="84"/>
    </row>
    <row r="54" spans="1:18" ht="21">
      <c r="A54" s="85" t="s">
        <v>54</v>
      </c>
    </row>
  </sheetData>
  <mergeCells count="22">
    <mergeCell ref="S7:S8"/>
    <mergeCell ref="B46:C46"/>
    <mergeCell ref="A7:A8"/>
    <mergeCell ref="B7:B8"/>
    <mergeCell ref="C7:C8"/>
    <mergeCell ref="D7:D8"/>
    <mergeCell ref="A1:S1"/>
    <mergeCell ref="A2:S2"/>
    <mergeCell ref="A4:R4"/>
    <mergeCell ref="D5:R5"/>
    <mergeCell ref="G7:I7"/>
    <mergeCell ref="E7:E8"/>
    <mergeCell ref="F7:F8"/>
    <mergeCell ref="J7:J8"/>
    <mergeCell ref="K7:K8"/>
    <mergeCell ref="L7:L8"/>
    <mergeCell ref="M7:M8"/>
    <mergeCell ref="N7:N8"/>
    <mergeCell ref="O7:O8"/>
    <mergeCell ref="P7:P8"/>
    <mergeCell ref="Q7:Q8"/>
    <mergeCell ref="R7:R8"/>
  </mergeCells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FAF546-2656-47C0-B09E-0E2EC8FC29C6}">
  <dimension ref="A1:G41"/>
  <sheetViews>
    <sheetView tabSelected="1" workbookViewId="0">
      <selection activeCell="I8" sqref="I8"/>
    </sheetView>
  </sheetViews>
  <sheetFormatPr defaultRowHeight="13.2"/>
  <cols>
    <col min="1" max="1" width="4" bestFit="1" customWidth="1"/>
    <col min="2" max="2" width="14.88671875" bestFit="1" customWidth="1"/>
    <col min="3" max="3" width="12.88671875" bestFit="1" customWidth="1"/>
    <col min="4" max="4" width="24.21875" bestFit="1" customWidth="1"/>
    <col min="5" max="5" width="21.109375" bestFit="1" customWidth="1"/>
    <col min="6" max="6" width="19.77734375" bestFit="1" customWidth="1"/>
    <col min="7" max="7" width="20.5546875" bestFit="1" customWidth="1"/>
  </cols>
  <sheetData>
    <row r="1" spans="1:7">
      <c r="A1" s="140" t="s">
        <v>21</v>
      </c>
      <c r="B1" s="140" t="s">
        <v>22</v>
      </c>
      <c r="C1" s="140" t="s">
        <v>67</v>
      </c>
      <c r="D1" s="140" t="s">
        <v>48</v>
      </c>
      <c r="E1" s="140" t="s">
        <v>74</v>
      </c>
      <c r="F1" s="140" t="s">
        <v>77</v>
      </c>
      <c r="G1" s="140" t="s">
        <v>79</v>
      </c>
    </row>
    <row r="2" spans="1:7">
      <c r="A2" s="141"/>
      <c r="B2" s="141"/>
      <c r="C2" s="141"/>
      <c r="D2" s="141"/>
      <c r="E2" s="141"/>
      <c r="F2" s="141"/>
      <c r="G2" s="141"/>
    </row>
    <row r="3" spans="1:7" ht="15.6">
      <c r="A3" s="71"/>
      <c r="B3" s="71"/>
      <c r="C3" s="71"/>
      <c r="D3" s="118" t="s">
        <v>26</v>
      </c>
      <c r="E3" s="118" t="s">
        <v>26</v>
      </c>
      <c r="F3" s="118" t="s">
        <v>26</v>
      </c>
      <c r="G3" s="118" t="s">
        <v>26</v>
      </c>
    </row>
    <row r="4" spans="1:7" ht="15.6">
      <c r="A4" s="71">
        <v>1</v>
      </c>
      <c r="B4" s="72" t="s">
        <v>83</v>
      </c>
      <c r="C4" s="73">
        <v>17</v>
      </c>
      <c r="D4" s="74">
        <v>4195021305.9843292</v>
      </c>
      <c r="E4" s="74">
        <v>64129795.707183503</v>
      </c>
      <c r="F4" s="74">
        <v>1833083376.4398999</v>
      </c>
      <c r="G4" s="91">
        <v>6092234478.1314125</v>
      </c>
    </row>
    <row r="5" spans="1:7" ht="15.6">
      <c r="A5" s="71">
        <v>2</v>
      </c>
      <c r="B5" s="72" t="s">
        <v>84</v>
      </c>
      <c r="C5" s="76">
        <v>21</v>
      </c>
      <c r="D5" s="74">
        <v>4072872993.3566599</v>
      </c>
      <c r="E5" s="74">
        <v>136446148.92673799</v>
      </c>
      <c r="F5" s="74">
        <v>1873389028.4942999</v>
      </c>
      <c r="G5" s="91">
        <v>6082708170.7776976</v>
      </c>
    </row>
    <row r="6" spans="1:7" ht="15.6">
      <c r="A6" s="71">
        <v>3</v>
      </c>
      <c r="B6" s="72" t="s">
        <v>85</v>
      </c>
      <c r="C6" s="76">
        <v>31</v>
      </c>
      <c r="D6" s="74">
        <v>23910291289.842949</v>
      </c>
      <c r="E6" s="74">
        <v>68857066.132776499</v>
      </c>
      <c r="F6" s="74">
        <v>2207816171.0813999</v>
      </c>
      <c r="G6" s="91">
        <v>26186964527.057129</v>
      </c>
    </row>
    <row r="7" spans="1:7" ht="15.6">
      <c r="A7" s="71">
        <v>4</v>
      </c>
      <c r="B7" s="72" t="s">
        <v>86</v>
      </c>
      <c r="C7" s="76">
        <v>21</v>
      </c>
      <c r="D7" s="74">
        <v>4786833311.8307104</v>
      </c>
      <c r="E7" s="74">
        <v>136190533.13038599</v>
      </c>
      <c r="F7" s="74">
        <v>2223191066.0409999</v>
      </c>
      <c r="G7" s="91">
        <v>7146214911.0020962</v>
      </c>
    </row>
    <row r="8" spans="1:7" ht="15.6">
      <c r="A8" s="71">
        <v>5</v>
      </c>
      <c r="B8" s="72" t="s">
        <v>87</v>
      </c>
      <c r="C8" s="76">
        <v>20</v>
      </c>
      <c r="D8" s="74">
        <v>4581534059.98874</v>
      </c>
      <c r="E8" s="74">
        <v>163841774.273965</v>
      </c>
      <c r="F8" s="74">
        <v>2174381325.5476999</v>
      </c>
      <c r="G8" s="91">
        <v>6919757159.8104048</v>
      </c>
    </row>
    <row r="9" spans="1:7" ht="15.6">
      <c r="A9" s="71">
        <v>6</v>
      </c>
      <c r="B9" s="72" t="s">
        <v>88</v>
      </c>
      <c r="C9" s="76">
        <v>8</v>
      </c>
      <c r="D9" s="74">
        <v>22119897155.801003</v>
      </c>
      <c r="E9" s="74">
        <v>60598171.923650503</v>
      </c>
      <c r="F9" s="74">
        <v>1851168939.8812001</v>
      </c>
      <c r="G9" s="91">
        <v>24031664267.60585</v>
      </c>
    </row>
    <row r="10" spans="1:7" ht="15.6">
      <c r="A10" s="71">
        <v>7</v>
      </c>
      <c r="B10" s="72" t="s">
        <v>89</v>
      </c>
      <c r="C10" s="76">
        <v>23</v>
      </c>
      <c r="D10" s="74">
        <v>4306292555.1921701</v>
      </c>
      <c r="E10" s="74">
        <v>76806127.3874145</v>
      </c>
      <c r="F10" s="74">
        <v>2072628591.526</v>
      </c>
      <c r="G10" s="91">
        <v>6455727274.1055851</v>
      </c>
    </row>
    <row r="11" spans="1:7" ht="15.6">
      <c r="A11" s="71">
        <v>8</v>
      </c>
      <c r="B11" s="72" t="s">
        <v>90</v>
      </c>
      <c r="C11" s="76">
        <v>27</v>
      </c>
      <c r="D11" s="74">
        <v>5365719477.3298597</v>
      </c>
      <c r="E11" s="74">
        <v>170180363.50144199</v>
      </c>
      <c r="F11" s="74">
        <v>2103093591.8649001</v>
      </c>
      <c r="G11" s="91">
        <v>7638993432.6962013</v>
      </c>
    </row>
    <row r="12" spans="1:7" ht="15.6">
      <c r="A12" s="71">
        <v>9</v>
      </c>
      <c r="B12" s="72" t="s">
        <v>91</v>
      </c>
      <c r="C12" s="76">
        <v>18</v>
      </c>
      <c r="D12" s="74">
        <v>3341472425.89294</v>
      </c>
      <c r="E12" s="74">
        <v>68868809.110979006</v>
      </c>
      <c r="F12" s="74">
        <v>1807382377.5002999</v>
      </c>
      <c r="G12" s="91">
        <v>5217723612.5042191</v>
      </c>
    </row>
    <row r="13" spans="1:7" ht="15.6">
      <c r="A13" s="71">
        <v>10</v>
      </c>
      <c r="B13" s="72" t="s">
        <v>92</v>
      </c>
      <c r="C13" s="76">
        <v>25</v>
      </c>
      <c r="D13" s="74">
        <v>33361370085.886269</v>
      </c>
      <c r="E13" s="74">
        <v>69538280.698758006</v>
      </c>
      <c r="F13" s="74">
        <v>2275377423.5963001</v>
      </c>
      <c r="G13" s="91">
        <v>35706285790.181328</v>
      </c>
    </row>
    <row r="14" spans="1:7" ht="15.6">
      <c r="A14" s="71">
        <v>11</v>
      </c>
      <c r="B14" s="72" t="s">
        <v>93</v>
      </c>
      <c r="C14" s="76">
        <v>13</v>
      </c>
      <c r="D14" s="74">
        <v>3688605373.9516802</v>
      </c>
      <c r="E14" s="74">
        <v>122541996.539123</v>
      </c>
      <c r="F14" s="74">
        <v>1764405339.1234</v>
      </c>
      <c r="G14" s="91">
        <v>5575552709.6142035</v>
      </c>
    </row>
    <row r="15" spans="1:7" ht="15.6">
      <c r="A15" s="71">
        <v>12</v>
      </c>
      <c r="B15" s="72" t="s">
        <v>94</v>
      </c>
      <c r="C15" s="76">
        <v>18</v>
      </c>
      <c r="D15" s="74">
        <v>7369507812.7468691</v>
      </c>
      <c r="E15" s="74">
        <v>64038013.058467001</v>
      </c>
      <c r="F15" s="74">
        <v>2118197229.1089001</v>
      </c>
      <c r="G15" s="91">
        <v>9551743054.9142361</v>
      </c>
    </row>
    <row r="16" spans="1:7" ht="15.6">
      <c r="A16" s="71">
        <v>13</v>
      </c>
      <c r="B16" s="72" t="s">
        <v>95</v>
      </c>
      <c r="C16" s="76">
        <v>16</v>
      </c>
      <c r="D16" s="74">
        <v>3032052265.89568</v>
      </c>
      <c r="E16" s="74">
        <v>122472846.804619</v>
      </c>
      <c r="F16" s="74">
        <v>1747289429.2625999</v>
      </c>
      <c r="G16" s="91">
        <v>4901814541.9628983</v>
      </c>
    </row>
    <row r="17" spans="1:7" ht="15.6">
      <c r="A17" s="71">
        <v>14</v>
      </c>
      <c r="B17" s="72" t="s">
        <v>96</v>
      </c>
      <c r="C17" s="76">
        <v>17</v>
      </c>
      <c r="D17" s="74">
        <v>4346240714.6881199</v>
      </c>
      <c r="E17" s="74">
        <v>137749505.90837899</v>
      </c>
      <c r="F17" s="74">
        <v>1997441818.8534</v>
      </c>
      <c r="G17" s="91">
        <v>6481432039.4498987</v>
      </c>
    </row>
    <row r="18" spans="1:7" ht="15.6">
      <c r="A18" s="71">
        <v>15</v>
      </c>
      <c r="B18" s="72" t="s">
        <v>97</v>
      </c>
      <c r="C18" s="76">
        <v>11</v>
      </c>
      <c r="D18" s="74">
        <v>3039086173.5266399</v>
      </c>
      <c r="E18" s="74">
        <v>129017540.743661</v>
      </c>
      <c r="F18" s="74">
        <v>1729856219.6930001</v>
      </c>
      <c r="G18" s="91">
        <v>4897959933.9633007</v>
      </c>
    </row>
    <row r="19" spans="1:7" ht="15.6">
      <c r="A19" s="71">
        <v>16</v>
      </c>
      <c r="B19" s="72" t="s">
        <v>98</v>
      </c>
      <c r="C19" s="76">
        <v>27</v>
      </c>
      <c r="D19" s="74">
        <v>4973100903.0554104</v>
      </c>
      <c r="E19" s="74">
        <v>71206354.192594498</v>
      </c>
      <c r="F19" s="74">
        <v>2016503495.885</v>
      </c>
      <c r="G19" s="91">
        <v>7060810753.1330051</v>
      </c>
    </row>
    <row r="20" spans="1:7" ht="15.6">
      <c r="A20" s="71">
        <v>17</v>
      </c>
      <c r="B20" s="72" t="s">
        <v>99</v>
      </c>
      <c r="C20" s="76">
        <v>27</v>
      </c>
      <c r="D20" s="74">
        <v>5022809811.2993307</v>
      </c>
      <c r="E20" s="74">
        <v>153178078.67056599</v>
      </c>
      <c r="F20" s="74">
        <v>2159221226.4713998</v>
      </c>
      <c r="G20" s="91">
        <v>7335209116.4412956</v>
      </c>
    </row>
    <row r="21" spans="1:7" ht="15.6">
      <c r="A21" s="71">
        <v>18</v>
      </c>
      <c r="B21" s="72" t="s">
        <v>100</v>
      </c>
      <c r="C21" s="76">
        <v>23</v>
      </c>
      <c r="D21" s="74">
        <v>4793769247.5864801</v>
      </c>
      <c r="E21" s="74">
        <v>179465935.372518</v>
      </c>
      <c r="F21" s="74">
        <v>2515057250.2198</v>
      </c>
      <c r="G21" s="91">
        <v>7488292433.1787977</v>
      </c>
    </row>
    <row r="22" spans="1:7" ht="15.6">
      <c r="A22" s="71">
        <v>19</v>
      </c>
      <c r="B22" s="72" t="s">
        <v>101</v>
      </c>
      <c r="C22" s="76">
        <v>44</v>
      </c>
      <c r="D22" s="74">
        <v>6274547518.4869804</v>
      </c>
      <c r="E22" s="74">
        <v>217263494.689116</v>
      </c>
      <c r="F22" s="74">
        <v>3517871642.9078999</v>
      </c>
      <c r="G22" s="91">
        <v>10009682656.083996</v>
      </c>
    </row>
    <row r="23" spans="1:7" ht="15.6">
      <c r="A23" s="71">
        <v>20</v>
      </c>
      <c r="B23" s="72" t="s">
        <v>102</v>
      </c>
      <c r="C23" s="76">
        <v>34</v>
      </c>
      <c r="D23" s="74">
        <v>4536077963.2545996</v>
      </c>
      <c r="E23" s="74">
        <v>168373025.07520401</v>
      </c>
      <c r="F23" s="74">
        <v>2380504476.0570002</v>
      </c>
      <c r="G23" s="91">
        <v>7084955464.3868036</v>
      </c>
    </row>
    <row r="24" spans="1:7" ht="15.6">
      <c r="A24" s="71">
        <v>21</v>
      </c>
      <c r="B24" s="72" t="s">
        <v>103</v>
      </c>
      <c r="C24" s="76">
        <v>21</v>
      </c>
      <c r="D24" s="74">
        <v>4666177749.2630005</v>
      </c>
      <c r="E24" s="74">
        <v>72316634.280549496</v>
      </c>
      <c r="F24" s="74">
        <v>1912404039.7688999</v>
      </c>
      <c r="G24" s="91">
        <v>6650898423.3124495</v>
      </c>
    </row>
    <row r="25" spans="1:7" ht="15.6">
      <c r="A25" s="71">
        <v>22</v>
      </c>
      <c r="B25" s="72" t="s">
        <v>104</v>
      </c>
      <c r="C25" s="76">
        <v>21</v>
      </c>
      <c r="D25" s="74">
        <v>4129813076.7297201</v>
      </c>
      <c r="E25" s="74">
        <v>75693684.3936885</v>
      </c>
      <c r="F25" s="74">
        <v>1890179406.3315001</v>
      </c>
      <c r="G25" s="91">
        <v>6095686167.4549084</v>
      </c>
    </row>
    <row r="26" spans="1:7" ht="15.6">
      <c r="A26" s="71">
        <v>23</v>
      </c>
      <c r="B26" s="72" t="s">
        <v>105</v>
      </c>
      <c r="C26" s="76">
        <v>16</v>
      </c>
      <c r="D26" s="74">
        <v>404236934.36070013</v>
      </c>
      <c r="E26" s="74">
        <v>60963407.760747999</v>
      </c>
      <c r="F26" s="74">
        <v>1778831417.2746999</v>
      </c>
      <c r="G26" s="91">
        <v>2244031759.3961482</v>
      </c>
    </row>
    <row r="27" spans="1:7" ht="15.6">
      <c r="A27" s="71">
        <v>24</v>
      </c>
      <c r="B27" s="72" t="s">
        <v>106</v>
      </c>
      <c r="C27" s="76">
        <v>20</v>
      </c>
      <c r="D27" s="74">
        <v>2627464443.7758803</v>
      </c>
      <c r="E27" s="74">
        <v>183493115.782224</v>
      </c>
      <c r="F27" s="74">
        <v>11722484518.926201</v>
      </c>
      <c r="G27" s="91">
        <v>14533442078.484306</v>
      </c>
    </row>
    <row r="28" spans="1:7" ht="15.6">
      <c r="A28" s="71">
        <v>25</v>
      </c>
      <c r="B28" s="72" t="s">
        <v>107</v>
      </c>
      <c r="C28" s="76">
        <v>13</v>
      </c>
      <c r="D28" s="74">
        <v>3994544004.8885007</v>
      </c>
      <c r="E28" s="74">
        <v>126316442.871097</v>
      </c>
      <c r="F28" s="74">
        <v>1644801630.9222</v>
      </c>
      <c r="G28" s="91">
        <v>5765662078.681798</v>
      </c>
    </row>
    <row r="29" spans="1:7" ht="15.6">
      <c r="A29" s="71">
        <v>26</v>
      </c>
      <c r="B29" s="72" t="s">
        <v>108</v>
      </c>
      <c r="C29" s="76">
        <v>25</v>
      </c>
      <c r="D29" s="74">
        <v>4364645082.7678108</v>
      </c>
      <c r="E29" s="74">
        <v>81123923.376246497</v>
      </c>
      <c r="F29" s="74">
        <v>2071336263.2844</v>
      </c>
      <c r="G29" s="91">
        <v>6517105269.4284573</v>
      </c>
    </row>
    <row r="30" spans="1:7" ht="15.6">
      <c r="A30" s="71">
        <v>27</v>
      </c>
      <c r="B30" s="72" t="s">
        <v>109</v>
      </c>
      <c r="C30" s="76">
        <v>20</v>
      </c>
      <c r="D30" s="74">
        <v>2407873652.9160204</v>
      </c>
      <c r="E30" s="74">
        <v>127254595.315182</v>
      </c>
      <c r="F30" s="74">
        <v>2089233347.0346999</v>
      </c>
      <c r="G30" s="91">
        <v>4624361595.2659025</v>
      </c>
    </row>
    <row r="31" spans="1:7" ht="15.6">
      <c r="A31" s="71">
        <v>28</v>
      </c>
      <c r="B31" s="72" t="s">
        <v>110</v>
      </c>
      <c r="C31" s="76">
        <v>18</v>
      </c>
      <c r="D31" s="74">
        <v>5845966646.2316294</v>
      </c>
      <c r="E31" s="74">
        <v>63753350.460087001</v>
      </c>
      <c r="F31" s="74">
        <v>2224801927.9316001</v>
      </c>
      <c r="G31" s="91">
        <v>8134521924.6233158</v>
      </c>
    </row>
    <row r="32" spans="1:7" ht="15.6">
      <c r="A32" s="71">
        <v>29</v>
      </c>
      <c r="B32" s="72" t="s">
        <v>111</v>
      </c>
      <c r="C32" s="76">
        <v>30</v>
      </c>
      <c r="D32" s="74">
        <v>2602444897.8932896</v>
      </c>
      <c r="E32" s="74">
        <v>124921765.641414</v>
      </c>
      <c r="F32" s="74">
        <v>1910099963.6896999</v>
      </c>
      <c r="G32" s="91">
        <v>4637466627.2244034</v>
      </c>
    </row>
    <row r="33" spans="1:7" ht="15.6">
      <c r="A33" s="71">
        <v>30</v>
      </c>
      <c r="B33" s="72" t="s">
        <v>112</v>
      </c>
      <c r="C33" s="76">
        <v>33</v>
      </c>
      <c r="D33" s="74">
        <v>3723683886.0303297</v>
      </c>
      <c r="E33" s="74">
        <v>153629227.09967101</v>
      </c>
      <c r="F33" s="74">
        <v>3733004019.7115002</v>
      </c>
      <c r="G33" s="91">
        <v>7610317132.8415012</v>
      </c>
    </row>
    <row r="34" spans="1:7" ht="15.6">
      <c r="A34" s="71">
        <v>31</v>
      </c>
      <c r="B34" s="72" t="s">
        <v>113</v>
      </c>
      <c r="C34" s="76">
        <v>17</v>
      </c>
      <c r="D34" s="74">
        <v>3226469494.2299395</v>
      </c>
      <c r="E34" s="74">
        <v>71516936.555030003</v>
      </c>
      <c r="F34" s="74">
        <v>1907779071.4898</v>
      </c>
      <c r="G34" s="91">
        <v>5205765502.2747688</v>
      </c>
    </row>
    <row r="35" spans="1:7" ht="15.6">
      <c r="A35" s="71">
        <v>32</v>
      </c>
      <c r="B35" s="72" t="s">
        <v>114</v>
      </c>
      <c r="C35" s="76">
        <v>23</v>
      </c>
      <c r="D35" s="74">
        <v>21858750712.830276</v>
      </c>
      <c r="E35" s="74">
        <v>73860072.882561505</v>
      </c>
      <c r="F35" s="74">
        <v>4979620139.5473003</v>
      </c>
      <c r="G35" s="91">
        <v>26912230925.260139</v>
      </c>
    </row>
    <row r="36" spans="1:7" ht="15.6">
      <c r="A36" s="71">
        <v>33</v>
      </c>
      <c r="B36" s="72" t="s">
        <v>115</v>
      </c>
      <c r="C36" s="76">
        <v>23</v>
      </c>
      <c r="D36" s="74">
        <v>3964287266.5006399</v>
      </c>
      <c r="E36" s="74">
        <v>150956578.53555599</v>
      </c>
      <c r="F36" s="74">
        <v>2052247375.1940999</v>
      </c>
      <c r="G36" s="91">
        <v>6167491220.2302952</v>
      </c>
    </row>
    <row r="37" spans="1:7" ht="15.6">
      <c r="A37" s="71">
        <v>34</v>
      </c>
      <c r="B37" s="72" t="s">
        <v>116</v>
      </c>
      <c r="C37" s="76">
        <v>16</v>
      </c>
      <c r="D37" s="74">
        <v>3632134628.4780998</v>
      </c>
      <c r="E37" s="74">
        <v>131942356.744101</v>
      </c>
      <c r="F37" s="74">
        <v>1682116334.4145</v>
      </c>
      <c r="G37" s="91">
        <v>5446193319.6367006</v>
      </c>
    </row>
    <row r="38" spans="1:7" ht="15.6">
      <c r="A38" s="71">
        <v>35</v>
      </c>
      <c r="B38" s="72" t="s">
        <v>117</v>
      </c>
      <c r="C38" s="76">
        <v>17</v>
      </c>
      <c r="D38" s="74">
        <v>3905686115.10636</v>
      </c>
      <c r="E38" s="74">
        <v>136015632.43023801</v>
      </c>
      <c r="F38" s="74">
        <v>1749752498.7776999</v>
      </c>
      <c r="G38" s="91">
        <v>5791454246.3142986</v>
      </c>
    </row>
    <row r="39" spans="1:7" ht="15.6">
      <c r="A39" s="71">
        <v>36</v>
      </c>
      <c r="B39" s="72" t="s">
        <v>118</v>
      </c>
      <c r="C39" s="76">
        <v>14</v>
      </c>
      <c r="D39" s="74">
        <v>4030432386.0144205</v>
      </c>
      <c r="E39" s="74">
        <v>136305306.01147601</v>
      </c>
      <c r="F39" s="74">
        <v>1866743949.2402999</v>
      </c>
      <c r="G39" s="91">
        <v>6033481641.2661963</v>
      </c>
    </row>
    <row r="40" spans="1:7" ht="21" thickBot="1">
      <c r="A40" s="71"/>
      <c r="B40" s="138" t="s">
        <v>25</v>
      </c>
      <c r="C40" s="139"/>
      <c r="D40" s="78">
        <v>232501713423.61398</v>
      </c>
      <c r="E40" s="78">
        <v>4150826891.987411</v>
      </c>
      <c r="F40" s="78">
        <v>87583295923.094513</v>
      </c>
      <c r="G40" s="78">
        <v>324235836238.69586</v>
      </c>
    </row>
    <row r="41" spans="1:7" ht="13.8" thickTop="1"/>
  </sheetData>
  <mergeCells count="8">
    <mergeCell ref="F1:F2"/>
    <mergeCell ref="G1:G2"/>
    <mergeCell ref="B40:C40"/>
    <mergeCell ref="D1:D2"/>
    <mergeCell ref="E1:E2"/>
    <mergeCell ref="A1:A2"/>
    <mergeCell ref="B1:B2"/>
    <mergeCell ref="C1:C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W415"/>
  <sheetViews>
    <sheetView workbookViewId="0">
      <pane xSplit="3" ySplit="5" topLeftCell="D408" activePane="bottomRight" state="frozen"/>
      <selection pane="topRight"/>
      <selection pane="bottomLeft"/>
      <selection pane="bottomRight" activeCell="D414" sqref="D414"/>
    </sheetView>
  </sheetViews>
  <sheetFormatPr defaultColWidth="9" defaultRowHeight="13.2"/>
  <cols>
    <col min="1" max="1" width="9.33203125" customWidth="1"/>
    <col min="2" max="2" width="13.88671875" style="33" customWidth="1"/>
    <col min="3" max="3" width="6.109375" customWidth="1"/>
    <col min="4" max="4" width="20.6640625" customWidth="1"/>
    <col min="5" max="9" width="19.88671875" customWidth="1"/>
    <col min="10" max="10" width="18.44140625" customWidth="1"/>
    <col min="11" max="11" width="19.6640625" customWidth="1"/>
    <col min="12" max="12" width="0.6640625" customWidth="1"/>
    <col min="13" max="13" width="4.6640625" customWidth="1"/>
    <col min="14" max="14" width="9.44140625" customWidth="1"/>
    <col min="15" max="15" width="17.88671875" style="33" customWidth="1"/>
    <col min="16" max="16" width="18.6640625" customWidth="1"/>
    <col min="17" max="18" width="21.88671875" customWidth="1"/>
    <col min="19" max="21" width="18.5546875" customWidth="1"/>
    <col min="22" max="22" width="22.109375" customWidth="1"/>
    <col min="23" max="23" width="20.6640625" customWidth="1"/>
  </cols>
  <sheetData>
    <row r="1" spans="1:23" ht="24.6">
      <c r="A1" s="144" t="s">
        <v>119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144"/>
      <c r="T1" s="144"/>
      <c r="U1" s="144"/>
      <c r="V1" s="144"/>
    </row>
    <row r="2" spans="1:23" ht="24.6">
      <c r="A2" s="144" t="s">
        <v>61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144"/>
      <c r="T2" s="144"/>
      <c r="U2" s="144"/>
      <c r="V2" s="144"/>
      <c r="W2" s="144"/>
    </row>
    <row r="3" spans="1:23" ht="45" customHeight="1">
      <c r="B3" s="145" t="s">
        <v>120</v>
      </c>
      <c r="C3" s="145"/>
      <c r="D3" s="145"/>
      <c r="E3" s="145"/>
      <c r="F3" s="145"/>
      <c r="G3" s="145"/>
      <c r="H3" s="145"/>
      <c r="I3" s="145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5"/>
      <c r="U3" s="145"/>
      <c r="V3" s="145"/>
    </row>
    <row r="4" spans="1:23">
      <c r="L4">
        <v>0</v>
      </c>
    </row>
    <row r="5" spans="1:23" ht="43.2" customHeight="1">
      <c r="A5" s="34" t="s">
        <v>21</v>
      </c>
      <c r="B5" s="35" t="s">
        <v>121</v>
      </c>
      <c r="C5" s="14" t="s">
        <v>21</v>
      </c>
      <c r="D5" s="14" t="s">
        <v>122</v>
      </c>
      <c r="E5" s="14" t="s">
        <v>48</v>
      </c>
      <c r="F5" s="14" t="s">
        <v>123</v>
      </c>
      <c r="G5" s="14" t="s">
        <v>124</v>
      </c>
      <c r="H5" s="14" t="s">
        <v>73</v>
      </c>
      <c r="I5" s="14" t="s">
        <v>74</v>
      </c>
      <c r="J5" s="14" t="s">
        <v>125</v>
      </c>
      <c r="K5" s="38" t="s">
        <v>126</v>
      </c>
      <c r="L5" s="44"/>
      <c r="M5" s="36"/>
      <c r="N5" s="14" t="s">
        <v>21</v>
      </c>
      <c r="O5" s="35" t="s">
        <v>127</v>
      </c>
      <c r="P5" s="14" t="s">
        <v>122</v>
      </c>
      <c r="Q5" s="14" t="s">
        <v>48</v>
      </c>
      <c r="R5" s="14" t="s">
        <v>123</v>
      </c>
      <c r="S5" s="14" t="s">
        <v>124</v>
      </c>
      <c r="T5" s="14" t="s">
        <v>73</v>
      </c>
      <c r="U5" s="14" t="s">
        <v>74</v>
      </c>
      <c r="V5" s="14" t="s">
        <v>125</v>
      </c>
      <c r="W5" s="14" t="s">
        <v>126</v>
      </c>
    </row>
    <row r="6" spans="1:23" ht="15.6">
      <c r="A6" s="36"/>
      <c r="B6" s="37"/>
      <c r="C6" s="36"/>
      <c r="D6" s="38"/>
      <c r="E6" s="118" t="s">
        <v>26</v>
      </c>
      <c r="F6" s="118" t="s">
        <v>26</v>
      </c>
      <c r="G6" s="118" t="s">
        <v>26</v>
      </c>
      <c r="H6" s="118" t="s">
        <v>26</v>
      </c>
      <c r="I6" s="118" t="s">
        <v>26</v>
      </c>
      <c r="J6" s="118" t="s">
        <v>26</v>
      </c>
      <c r="K6" s="118" t="s">
        <v>26</v>
      </c>
      <c r="L6" s="44"/>
      <c r="M6" s="36"/>
      <c r="N6" s="38"/>
      <c r="O6" s="39"/>
      <c r="P6" s="38"/>
      <c r="Q6" s="118" t="s">
        <v>26</v>
      </c>
      <c r="R6" s="118" t="s">
        <v>26</v>
      </c>
      <c r="S6" s="118" t="s">
        <v>26</v>
      </c>
      <c r="T6" s="118" t="s">
        <v>26</v>
      </c>
      <c r="U6" s="118" t="s">
        <v>26</v>
      </c>
      <c r="V6" s="118" t="s">
        <v>26</v>
      </c>
      <c r="W6" s="118" t="s">
        <v>26</v>
      </c>
    </row>
    <row r="7" spans="1:23" ht="24.9" customHeight="1">
      <c r="A7" s="151">
        <v>1</v>
      </c>
      <c r="B7" s="152" t="s">
        <v>83</v>
      </c>
      <c r="C7" s="36">
        <v>1</v>
      </c>
      <c r="D7" s="40" t="s">
        <v>128</v>
      </c>
      <c r="E7" s="40">
        <v>153421453.17129999</v>
      </c>
      <c r="F7" s="40">
        <v>0</v>
      </c>
      <c r="G7" s="40">
        <v>4602643.5950999996</v>
      </c>
      <c r="H7" s="40">
        <f>G7/2</f>
        <v>2301321.7975499998</v>
      </c>
      <c r="I7" s="40">
        <f>G7-H7</f>
        <v>2301321.7975499998</v>
      </c>
      <c r="J7" s="40">
        <v>56554821.832400002</v>
      </c>
      <c r="K7" s="45">
        <f>E7+F7+G7-H7+J7</f>
        <v>212277596.80124998</v>
      </c>
      <c r="L7" s="44"/>
      <c r="M7" s="151">
        <v>19</v>
      </c>
      <c r="N7" s="46">
        <v>26</v>
      </c>
      <c r="O7" s="155" t="s">
        <v>101</v>
      </c>
      <c r="P7" s="40" t="s">
        <v>129</v>
      </c>
      <c r="Q7" s="40">
        <v>162416930.5634</v>
      </c>
      <c r="R7" s="40">
        <f t="shared" ref="R7:R25" si="0">-11651464.66</f>
        <v>-11651464.66</v>
      </c>
      <c r="S7" s="40">
        <v>4872507.9168999996</v>
      </c>
      <c r="T7" s="40">
        <v>0</v>
      </c>
      <c r="U7" s="40">
        <f>S7-T7</f>
        <v>4872507.9168999996</v>
      </c>
      <c r="V7" s="40">
        <v>61851403.328500003</v>
      </c>
      <c r="W7" s="45">
        <f>Q7+R7+S7-T7+V7</f>
        <v>217489377.14880002</v>
      </c>
    </row>
    <row r="8" spans="1:23" ht="24.9" customHeight="1">
      <c r="A8" s="151"/>
      <c r="B8" s="153"/>
      <c r="C8" s="36">
        <v>2</v>
      </c>
      <c r="D8" s="40" t="s">
        <v>130</v>
      </c>
      <c r="E8" s="40">
        <v>255963708.27720001</v>
      </c>
      <c r="F8" s="40">
        <v>0</v>
      </c>
      <c r="G8" s="40">
        <v>7678911.2483000001</v>
      </c>
      <c r="H8" s="40">
        <f t="shared" ref="H8:H23" si="1">G8/2</f>
        <v>3839455.62415</v>
      </c>
      <c r="I8" s="40">
        <f t="shared" ref="I8:I47" si="2">G8-H8</f>
        <v>3839455.62415</v>
      </c>
      <c r="J8" s="40">
        <v>98599616.445099995</v>
      </c>
      <c r="K8" s="45">
        <f t="shared" ref="K8:K71" si="3">E8+F8+G8-H8+J8</f>
        <v>358402780.34644997</v>
      </c>
      <c r="L8" s="44"/>
      <c r="M8" s="151"/>
      <c r="N8" s="46">
        <v>27</v>
      </c>
      <c r="O8" s="156"/>
      <c r="P8" s="40" t="s">
        <v>131</v>
      </c>
      <c r="Q8" s="40">
        <v>159060373.17340001</v>
      </c>
      <c r="R8" s="40">
        <f t="shared" si="0"/>
        <v>-11651464.66</v>
      </c>
      <c r="S8" s="40">
        <v>4771811.1952</v>
      </c>
      <c r="T8" s="40">
        <v>0</v>
      </c>
      <c r="U8" s="40">
        <f t="shared" ref="U8:U62" si="4">S8-T8</f>
        <v>4771811.1952</v>
      </c>
      <c r="V8" s="40">
        <v>66314586.046700001</v>
      </c>
      <c r="W8" s="45">
        <f t="shared" ref="W8:W71" si="5">Q8+R8+S8-T8+V8</f>
        <v>218495305.75530002</v>
      </c>
    </row>
    <row r="9" spans="1:23" ht="24.9" customHeight="1">
      <c r="A9" s="151"/>
      <c r="B9" s="153"/>
      <c r="C9" s="36">
        <v>3</v>
      </c>
      <c r="D9" s="40" t="s">
        <v>132</v>
      </c>
      <c r="E9" s="40">
        <v>180098650.34119999</v>
      </c>
      <c r="F9" s="40">
        <v>0</v>
      </c>
      <c r="G9" s="40">
        <v>5402959.5102000004</v>
      </c>
      <c r="H9" s="40">
        <f t="shared" si="1"/>
        <v>2701479.7551000002</v>
      </c>
      <c r="I9" s="40">
        <f t="shared" si="2"/>
        <v>2701479.7551000002</v>
      </c>
      <c r="J9" s="40">
        <v>64890047.801600002</v>
      </c>
      <c r="K9" s="45">
        <f t="shared" si="3"/>
        <v>247690177.89789999</v>
      </c>
      <c r="L9" s="44"/>
      <c r="M9" s="151"/>
      <c r="N9" s="46">
        <v>28</v>
      </c>
      <c r="O9" s="156"/>
      <c r="P9" s="40" t="s">
        <v>133</v>
      </c>
      <c r="Q9" s="40">
        <v>159204358.2001</v>
      </c>
      <c r="R9" s="40">
        <f t="shared" si="0"/>
        <v>-11651464.66</v>
      </c>
      <c r="S9" s="40">
        <v>4776130.7460000003</v>
      </c>
      <c r="T9" s="40">
        <v>0</v>
      </c>
      <c r="U9" s="40">
        <f t="shared" si="4"/>
        <v>4776130.7460000003</v>
      </c>
      <c r="V9" s="40">
        <v>65254309.367299996</v>
      </c>
      <c r="W9" s="45">
        <f t="shared" si="5"/>
        <v>217583333.6534</v>
      </c>
    </row>
    <row r="10" spans="1:23" ht="24.9" customHeight="1">
      <c r="A10" s="151"/>
      <c r="B10" s="153"/>
      <c r="C10" s="36">
        <v>4</v>
      </c>
      <c r="D10" s="40" t="s">
        <v>134</v>
      </c>
      <c r="E10" s="40">
        <v>183501018.95820001</v>
      </c>
      <c r="F10" s="40">
        <v>0</v>
      </c>
      <c r="G10" s="40">
        <v>5505030.5686999997</v>
      </c>
      <c r="H10" s="40">
        <f t="shared" si="1"/>
        <v>2752515.2843499999</v>
      </c>
      <c r="I10" s="40">
        <f t="shared" si="2"/>
        <v>2752515.2843499999</v>
      </c>
      <c r="J10" s="40">
        <v>67801223.618000001</v>
      </c>
      <c r="K10" s="45">
        <f t="shared" si="3"/>
        <v>254054757.86054999</v>
      </c>
      <c r="L10" s="44"/>
      <c r="M10" s="151"/>
      <c r="N10" s="46">
        <v>29</v>
      </c>
      <c r="O10" s="156"/>
      <c r="P10" s="40" t="s">
        <v>135</v>
      </c>
      <c r="Q10" s="40">
        <v>188683584.64250001</v>
      </c>
      <c r="R10" s="40">
        <f t="shared" si="0"/>
        <v>-11651464.66</v>
      </c>
      <c r="S10" s="40">
        <v>5660507.5393000003</v>
      </c>
      <c r="T10" s="40">
        <v>0</v>
      </c>
      <c r="U10" s="40">
        <f t="shared" si="4"/>
        <v>5660507.5393000003</v>
      </c>
      <c r="V10" s="40">
        <v>76653944.922199994</v>
      </c>
      <c r="W10" s="45">
        <f t="shared" si="5"/>
        <v>259346572.44400001</v>
      </c>
    </row>
    <row r="11" spans="1:23" ht="24.9" customHeight="1">
      <c r="A11" s="151"/>
      <c r="B11" s="153"/>
      <c r="C11" s="36">
        <v>5</v>
      </c>
      <c r="D11" s="40" t="s">
        <v>136</v>
      </c>
      <c r="E11" s="40">
        <v>167021866.12380001</v>
      </c>
      <c r="F11" s="40">
        <v>0</v>
      </c>
      <c r="G11" s="40">
        <v>5010655.9836999997</v>
      </c>
      <c r="H11" s="40">
        <f t="shared" si="1"/>
        <v>2505327.9918499999</v>
      </c>
      <c r="I11" s="40">
        <f t="shared" si="2"/>
        <v>2505327.9918499999</v>
      </c>
      <c r="J11" s="40">
        <v>60608938.165700004</v>
      </c>
      <c r="K11" s="45">
        <f t="shared" si="3"/>
        <v>230136132.28135002</v>
      </c>
      <c r="L11" s="44"/>
      <c r="M11" s="151"/>
      <c r="N11" s="46">
        <v>30</v>
      </c>
      <c r="O11" s="156"/>
      <c r="P11" s="40" t="s">
        <v>137</v>
      </c>
      <c r="Q11" s="40">
        <v>190159652.11739999</v>
      </c>
      <c r="R11" s="40">
        <f t="shared" si="0"/>
        <v>-11651464.66</v>
      </c>
      <c r="S11" s="40">
        <v>5704789.5635000002</v>
      </c>
      <c r="T11" s="40">
        <v>0</v>
      </c>
      <c r="U11" s="40">
        <f t="shared" si="4"/>
        <v>5704789.5635000002</v>
      </c>
      <c r="V11" s="40">
        <v>75510339.905100003</v>
      </c>
      <c r="W11" s="45">
        <f t="shared" si="5"/>
        <v>259723316.926</v>
      </c>
    </row>
    <row r="12" spans="1:23" ht="24.9" customHeight="1">
      <c r="A12" s="151"/>
      <c r="B12" s="153"/>
      <c r="C12" s="36">
        <v>6</v>
      </c>
      <c r="D12" s="40" t="s">
        <v>138</v>
      </c>
      <c r="E12" s="40">
        <v>172490415.94980001</v>
      </c>
      <c r="F12" s="40">
        <v>0</v>
      </c>
      <c r="G12" s="40">
        <v>5174712.4785000002</v>
      </c>
      <c r="H12" s="40">
        <f t="shared" si="1"/>
        <v>2587356.2392500001</v>
      </c>
      <c r="I12" s="40">
        <f t="shared" si="2"/>
        <v>2587356.2392500001</v>
      </c>
      <c r="J12" s="40">
        <v>62700918.011699997</v>
      </c>
      <c r="K12" s="45">
        <f t="shared" si="3"/>
        <v>237778690.20075002</v>
      </c>
      <c r="L12" s="44"/>
      <c r="M12" s="151"/>
      <c r="N12" s="46">
        <v>31</v>
      </c>
      <c r="O12" s="156"/>
      <c r="P12" s="40" t="s">
        <v>107</v>
      </c>
      <c r="Q12" s="40">
        <v>328780999.0226</v>
      </c>
      <c r="R12" s="40">
        <f t="shared" si="0"/>
        <v>-11651464.66</v>
      </c>
      <c r="S12" s="40">
        <v>9863429.9706999995</v>
      </c>
      <c r="T12" s="40">
        <v>0</v>
      </c>
      <c r="U12" s="40">
        <f t="shared" si="4"/>
        <v>9863429.9706999995</v>
      </c>
      <c r="V12" s="40">
        <v>126394450.4149</v>
      </c>
      <c r="W12" s="45">
        <f t="shared" si="5"/>
        <v>453387414.7482</v>
      </c>
    </row>
    <row r="13" spans="1:23" ht="24.9" customHeight="1">
      <c r="A13" s="151"/>
      <c r="B13" s="153"/>
      <c r="C13" s="36">
        <v>7</v>
      </c>
      <c r="D13" s="40" t="s">
        <v>139</v>
      </c>
      <c r="E13" s="40">
        <v>167361904.24340001</v>
      </c>
      <c r="F13" s="40">
        <v>0</v>
      </c>
      <c r="G13" s="40">
        <v>5020857.1272999998</v>
      </c>
      <c r="H13" s="40">
        <f t="shared" si="1"/>
        <v>2510428.5636499999</v>
      </c>
      <c r="I13" s="40">
        <f t="shared" si="2"/>
        <v>2510428.5636499999</v>
      </c>
      <c r="J13" s="40">
        <v>60179538.071500003</v>
      </c>
      <c r="K13" s="45">
        <f t="shared" si="3"/>
        <v>230051870.87854999</v>
      </c>
      <c r="L13" s="44"/>
      <c r="M13" s="151"/>
      <c r="N13" s="46">
        <v>32</v>
      </c>
      <c r="O13" s="156"/>
      <c r="P13" s="40" t="s">
        <v>140</v>
      </c>
      <c r="Q13" s="40">
        <v>164679142.8617</v>
      </c>
      <c r="R13" s="40">
        <f t="shared" si="0"/>
        <v>-11651464.66</v>
      </c>
      <c r="S13" s="40">
        <v>4940374.2857999997</v>
      </c>
      <c r="T13" s="40">
        <v>0</v>
      </c>
      <c r="U13" s="40">
        <f t="shared" si="4"/>
        <v>4940374.2857999997</v>
      </c>
      <c r="V13" s="40">
        <v>66425956.2971</v>
      </c>
      <c r="W13" s="45">
        <f t="shared" si="5"/>
        <v>224394008.78460002</v>
      </c>
    </row>
    <row r="14" spans="1:23" ht="24.9" customHeight="1">
      <c r="A14" s="151"/>
      <c r="B14" s="153"/>
      <c r="C14" s="36">
        <v>8</v>
      </c>
      <c r="D14" s="40" t="s">
        <v>141</v>
      </c>
      <c r="E14" s="40">
        <v>163188292.6397</v>
      </c>
      <c r="F14" s="40">
        <v>0</v>
      </c>
      <c r="G14" s="40">
        <v>4895648.7791999998</v>
      </c>
      <c r="H14" s="40">
        <f t="shared" si="1"/>
        <v>2447824.3895999999</v>
      </c>
      <c r="I14" s="40">
        <f t="shared" si="2"/>
        <v>2447824.3895999999</v>
      </c>
      <c r="J14" s="40">
        <v>57479008.850299999</v>
      </c>
      <c r="K14" s="45">
        <f t="shared" si="3"/>
        <v>223115125.87959999</v>
      </c>
      <c r="L14" s="44"/>
      <c r="M14" s="151"/>
      <c r="N14" s="46">
        <v>33</v>
      </c>
      <c r="O14" s="156"/>
      <c r="P14" s="40" t="s">
        <v>142</v>
      </c>
      <c r="Q14" s="40">
        <v>162978179.9348</v>
      </c>
      <c r="R14" s="40">
        <f t="shared" si="0"/>
        <v>-11651464.66</v>
      </c>
      <c r="S14" s="40">
        <v>4889345.398</v>
      </c>
      <c r="T14" s="40">
        <v>0</v>
      </c>
      <c r="U14" s="40">
        <f t="shared" si="4"/>
        <v>4889345.398</v>
      </c>
      <c r="V14" s="40">
        <v>61023701.754199997</v>
      </c>
      <c r="W14" s="45">
        <f t="shared" si="5"/>
        <v>217239762.42699999</v>
      </c>
    </row>
    <row r="15" spans="1:23" ht="24.9" customHeight="1">
      <c r="A15" s="151"/>
      <c r="B15" s="153"/>
      <c r="C15" s="36">
        <v>9</v>
      </c>
      <c r="D15" s="40" t="s">
        <v>143</v>
      </c>
      <c r="E15" s="40">
        <v>176056928.8635</v>
      </c>
      <c r="F15" s="40">
        <v>0</v>
      </c>
      <c r="G15" s="40">
        <v>5281707.8658999996</v>
      </c>
      <c r="H15" s="40">
        <f t="shared" si="1"/>
        <v>2640853.9329499998</v>
      </c>
      <c r="I15" s="40">
        <f t="shared" si="2"/>
        <v>2640853.9329499998</v>
      </c>
      <c r="J15" s="40">
        <v>64055701.224299997</v>
      </c>
      <c r="K15" s="45">
        <f t="shared" si="3"/>
        <v>242753484.02075002</v>
      </c>
      <c r="L15" s="44"/>
      <c r="M15" s="151"/>
      <c r="N15" s="46">
        <v>34</v>
      </c>
      <c r="O15" s="156"/>
      <c r="P15" s="40" t="s">
        <v>144</v>
      </c>
      <c r="Q15" s="40">
        <v>195089009.12169999</v>
      </c>
      <c r="R15" s="40">
        <f t="shared" si="0"/>
        <v>-11651464.66</v>
      </c>
      <c r="S15" s="40">
        <v>5852670.2736999998</v>
      </c>
      <c r="T15" s="40">
        <v>0</v>
      </c>
      <c r="U15" s="40">
        <f t="shared" si="4"/>
        <v>5852670.2736999998</v>
      </c>
      <c r="V15" s="40">
        <v>77364029.943299994</v>
      </c>
      <c r="W15" s="45">
        <f t="shared" si="5"/>
        <v>266654244.67869997</v>
      </c>
    </row>
    <row r="16" spans="1:23" ht="24.9" customHeight="1">
      <c r="A16" s="151"/>
      <c r="B16" s="153"/>
      <c r="C16" s="36">
        <v>10</v>
      </c>
      <c r="D16" s="40" t="s">
        <v>145</v>
      </c>
      <c r="E16" s="40">
        <v>178662159.17300001</v>
      </c>
      <c r="F16" s="40">
        <v>0</v>
      </c>
      <c r="G16" s="40">
        <v>5359864.7752</v>
      </c>
      <c r="H16" s="40">
        <f t="shared" si="1"/>
        <v>2679932.3876</v>
      </c>
      <c r="I16" s="40">
        <f t="shared" si="2"/>
        <v>2679932.3876</v>
      </c>
      <c r="J16" s="40">
        <v>66382914.176700003</v>
      </c>
      <c r="K16" s="45">
        <f t="shared" si="3"/>
        <v>247725005.73730001</v>
      </c>
      <c r="L16" s="44"/>
      <c r="M16" s="151"/>
      <c r="N16" s="46">
        <v>35</v>
      </c>
      <c r="O16" s="156"/>
      <c r="P16" s="40" t="s">
        <v>146</v>
      </c>
      <c r="Q16" s="40">
        <v>160967236.3572</v>
      </c>
      <c r="R16" s="40">
        <f t="shared" si="0"/>
        <v>-11651464.66</v>
      </c>
      <c r="S16" s="40">
        <v>4829017.0906999996</v>
      </c>
      <c r="T16" s="40">
        <v>0</v>
      </c>
      <c r="U16" s="40">
        <f t="shared" si="4"/>
        <v>4829017.0906999996</v>
      </c>
      <c r="V16" s="40">
        <v>65783783.206699997</v>
      </c>
      <c r="W16" s="45">
        <f t="shared" si="5"/>
        <v>219928571.9946</v>
      </c>
    </row>
    <row r="17" spans="1:23" ht="24.9" customHeight="1">
      <c r="A17" s="151"/>
      <c r="B17" s="153"/>
      <c r="C17" s="36">
        <v>11</v>
      </c>
      <c r="D17" s="40" t="s">
        <v>147</v>
      </c>
      <c r="E17" s="40">
        <v>195381361.9885</v>
      </c>
      <c r="F17" s="40">
        <v>0</v>
      </c>
      <c r="G17" s="40">
        <v>5861440.8596999999</v>
      </c>
      <c r="H17" s="40">
        <f t="shared" si="1"/>
        <v>2930720.42985</v>
      </c>
      <c r="I17" s="40">
        <f t="shared" si="2"/>
        <v>2930720.42985</v>
      </c>
      <c r="J17" s="40">
        <v>74849312.505199999</v>
      </c>
      <c r="K17" s="45">
        <f t="shared" si="3"/>
        <v>273161394.92355001</v>
      </c>
      <c r="L17" s="44"/>
      <c r="M17" s="151"/>
      <c r="N17" s="46">
        <v>36</v>
      </c>
      <c r="O17" s="156"/>
      <c r="P17" s="40" t="s">
        <v>148</v>
      </c>
      <c r="Q17" s="40">
        <v>203733463.1647</v>
      </c>
      <c r="R17" s="40">
        <f t="shared" si="0"/>
        <v>-11651464.66</v>
      </c>
      <c r="S17" s="40">
        <v>6112003.8948999997</v>
      </c>
      <c r="T17" s="40">
        <v>0</v>
      </c>
      <c r="U17" s="40">
        <f t="shared" si="4"/>
        <v>6112003.8948999997</v>
      </c>
      <c r="V17" s="40">
        <v>80808666.600999996</v>
      </c>
      <c r="W17" s="45">
        <f t="shared" si="5"/>
        <v>279002669.00059998</v>
      </c>
    </row>
    <row r="18" spans="1:23" ht="24.9" customHeight="1">
      <c r="A18" s="151"/>
      <c r="B18" s="153"/>
      <c r="C18" s="36">
        <v>12</v>
      </c>
      <c r="D18" s="40" t="s">
        <v>149</v>
      </c>
      <c r="E18" s="40">
        <v>188117518.94229999</v>
      </c>
      <c r="F18" s="40">
        <v>0</v>
      </c>
      <c r="G18" s="40">
        <v>5643525.5683000004</v>
      </c>
      <c r="H18" s="40">
        <f t="shared" si="1"/>
        <v>2821762.7841500002</v>
      </c>
      <c r="I18" s="40">
        <f t="shared" si="2"/>
        <v>2821762.7841500002</v>
      </c>
      <c r="J18" s="40">
        <v>71458766.172000006</v>
      </c>
      <c r="K18" s="45">
        <f t="shared" si="3"/>
        <v>262398047.89845002</v>
      </c>
      <c r="L18" s="44"/>
      <c r="M18" s="151"/>
      <c r="N18" s="46">
        <v>37</v>
      </c>
      <c r="O18" s="156"/>
      <c r="P18" s="40" t="s">
        <v>150</v>
      </c>
      <c r="Q18" s="40">
        <v>178910641.60249999</v>
      </c>
      <c r="R18" s="40">
        <f t="shared" si="0"/>
        <v>-11651464.66</v>
      </c>
      <c r="S18" s="40">
        <v>5367319.2481000004</v>
      </c>
      <c r="T18" s="40">
        <v>0</v>
      </c>
      <c r="U18" s="40">
        <f t="shared" si="4"/>
        <v>5367319.2481000004</v>
      </c>
      <c r="V18" s="40">
        <v>74041661.340900004</v>
      </c>
      <c r="W18" s="45">
        <f t="shared" si="5"/>
        <v>246668157.53150001</v>
      </c>
    </row>
    <row r="19" spans="1:23" ht="24.9" customHeight="1">
      <c r="A19" s="151"/>
      <c r="B19" s="153"/>
      <c r="C19" s="36">
        <v>13</v>
      </c>
      <c r="D19" s="40" t="s">
        <v>151</v>
      </c>
      <c r="E19" s="40">
        <v>143650686.88980001</v>
      </c>
      <c r="F19" s="40">
        <v>0</v>
      </c>
      <c r="G19" s="40">
        <v>4309520.6067000004</v>
      </c>
      <c r="H19" s="40">
        <f t="shared" si="1"/>
        <v>2154760.3033500002</v>
      </c>
      <c r="I19" s="40">
        <f t="shared" si="2"/>
        <v>2154760.3033500002</v>
      </c>
      <c r="J19" s="40">
        <v>53249597.337800004</v>
      </c>
      <c r="K19" s="45">
        <f t="shared" si="3"/>
        <v>199055044.53095001</v>
      </c>
      <c r="L19" s="44"/>
      <c r="M19" s="151"/>
      <c r="N19" s="46">
        <v>38</v>
      </c>
      <c r="O19" s="156"/>
      <c r="P19" s="40" t="s">
        <v>152</v>
      </c>
      <c r="Q19" s="40">
        <v>186040880.5449</v>
      </c>
      <c r="R19" s="40">
        <f t="shared" si="0"/>
        <v>-11651464.66</v>
      </c>
      <c r="S19" s="40">
        <v>5581226.4162999997</v>
      </c>
      <c r="T19" s="40">
        <v>0</v>
      </c>
      <c r="U19" s="40">
        <f t="shared" si="4"/>
        <v>5581226.4162999997</v>
      </c>
      <c r="V19" s="40">
        <v>76516792.060200006</v>
      </c>
      <c r="W19" s="45">
        <f t="shared" si="5"/>
        <v>256487434.36140001</v>
      </c>
    </row>
    <row r="20" spans="1:23" ht="24.9" customHeight="1">
      <c r="A20" s="151"/>
      <c r="B20" s="153"/>
      <c r="C20" s="36">
        <v>14</v>
      </c>
      <c r="D20" s="40" t="s">
        <v>153</v>
      </c>
      <c r="E20" s="40">
        <v>135730277.81060001</v>
      </c>
      <c r="F20" s="40">
        <v>0</v>
      </c>
      <c r="G20" s="40">
        <v>4071908.3343000002</v>
      </c>
      <c r="H20" s="40">
        <f t="shared" si="1"/>
        <v>2035954.1671500001</v>
      </c>
      <c r="I20" s="40">
        <f t="shared" si="2"/>
        <v>2035954.1671500001</v>
      </c>
      <c r="J20" s="40">
        <v>50092822.210299999</v>
      </c>
      <c r="K20" s="45">
        <f t="shared" si="3"/>
        <v>187859054.18805003</v>
      </c>
      <c r="L20" s="44"/>
      <c r="M20" s="151"/>
      <c r="N20" s="46">
        <v>39</v>
      </c>
      <c r="O20" s="156"/>
      <c r="P20" s="40" t="s">
        <v>154</v>
      </c>
      <c r="Q20" s="40">
        <v>146461338.36829999</v>
      </c>
      <c r="R20" s="40">
        <f t="shared" si="0"/>
        <v>-11651464.66</v>
      </c>
      <c r="S20" s="40">
        <v>4393840.1509999996</v>
      </c>
      <c r="T20" s="40">
        <v>0</v>
      </c>
      <c r="U20" s="40">
        <f t="shared" si="4"/>
        <v>4393840.1509999996</v>
      </c>
      <c r="V20" s="40">
        <v>60085958.930200003</v>
      </c>
      <c r="W20" s="45">
        <f t="shared" si="5"/>
        <v>199289672.7895</v>
      </c>
    </row>
    <row r="21" spans="1:23" ht="24.9" customHeight="1">
      <c r="A21" s="151"/>
      <c r="B21" s="153"/>
      <c r="C21" s="36">
        <v>15</v>
      </c>
      <c r="D21" s="40" t="s">
        <v>155</v>
      </c>
      <c r="E21" s="40">
        <v>141334976.54960001</v>
      </c>
      <c r="F21" s="40">
        <v>0</v>
      </c>
      <c r="G21" s="40">
        <v>4240049.2965000002</v>
      </c>
      <c r="H21" s="40">
        <f t="shared" si="1"/>
        <v>2120024.6482500001</v>
      </c>
      <c r="I21" s="40">
        <f t="shared" si="2"/>
        <v>2120024.6482500001</v>
      </c>
      <c r="J21" s="40">
        <v>54038624.994599998</v>
      </c>
      <c r="K21" s="45">
        <f t="shared" si="3"/>
        <v>197493626.19244999</v>
      </c>
      <c r="L21" s="44"/>
      <c r="M21" s="151"/>
      <c r="N21" s="46">
        <v>40</v>
      </c>
      <c r="O21" s="156"/>
      <c r="P21" s="40" t="s">
        <v>156</v>
      </c>
      <c r="Q21" s="40">
        <v>161478826.8294</v>
      </c>
      <c r="R21" s="40">
        <f t="shared" si="0"/>
        <v>-11651464.66</v>
      </c>
      <c r="S21" s="40">
        <v>4844364.8048999999</v>
      </c>
      <c r="T21" s="40">
        <v>0</v>
      </c>
      <c r="U21" s="40">
        <f t="shared" si="4"/>
        <v>4844364.8048999999</v>
      </c>
      <c r="V21" s="40">
        <v>68052785.932799995</v>
      </c>
      <c r="W21" s="45">
        <f t="shared" si="5"/>
        <v>222724512.90709999</v>
      </c>
    </row>
    <row r="22" spans="1:23" ht="24.9" customHeight="1">
      <c r="A22" s="151"/>
      <c r="B22" s="153"/>
      <c r="C22" s="36">
        <v>16</v>
      </c>
      <c r="D22" s="40" t="s">
        <v>157</v>
      </c>
      <c r="E22" s="40">
        <v>210684872.82350001</v>
      </c>
      <c r="F22" s="40">
        <v>0</v>
      </c>
      <c r="G22" s="40">
        <v>6320546.1847000001</v>
      </c>
      <c r="H22" s="40">
        <f t="shared" si="1"/>
        <v>3160273.09235</v>
      </c>
      <c r="I22" s="40">
        <f t="shared" si="2"/>
        <v>3160273.09235</v>
      </c>
      <c r="J22" s="40">
        <v>71595387.433799997</v>
      </c>
      <c r="K22" s="45">
        <f t="shared" si="3"/>
        <v>285440533.34965003</v>
      </c>
      <c r="L22" s="44"/>
      <c r="M22" s="151"/>
      <c r="N22" s="46">
        <v>41</v>
      </c>
      <c r="O22" s="156"/>
      <c r="P22" s="40" t="s">
        <v>158</v>
      </c>
      <c r="Q22" s="40">
        <v>199109128.2613</v>
      </c>
      <c r="R22" s="40">
        <f t="shared" si="0"/>
        <v>-11651464.66</v>
      </c>
      <c r="S22" s="40">
        <v>5973273.8477999996</v>
      </c>
      <c r="T22" s="40">
        <v>0</v>
      </c>
      <c r="U22" s="40">
        <f t="shared" si="4"/>
        <v>5973273.8477999996</v>
      </c>
      <c r="V22" s="40">
        <v>77895630.183699995</v>
      </c>
      <c r="W22" s="45">
        <f t="shared" si="5"/>
        <v>271326567.63279998</v>
      </c>
    </row>
    <row r="23" spans="1:23" ht="24.9" customHeight="1">
      <c r="A23" s="151"/>
      <c r="B23" s="154"/>
      <c r="C23" s="36">
        <v>17</v>
      </c>
      <c r="D23" s="40" t="s">
        <v>159</v>
      </c>
      <c r="E23" s="40">
        <v>182044089.36919999</v>
      </c>
      <c r="F23" s="40">
        <v>0</v>
      </c>
      <c r="G23" s="40">
        <v>5461322.6810999997</v>
      </c>
      <c r="H23" s="40">
        <f t="shared" si="1"/>
        <v>2730661.3405499998</v>
      </c>
      <c r="I23" s="40">
        <f t="shared" si="2"/>
        <v>2730661.3405499998</v>
      </c>
      <c r="J23" s="40">
        <v>60685621.500399999</v>
      </c>
      <c r="K23" s="45">
        <f t="shared" si="3"/>
        <v>245460372.21015</v>
      </c>
      <c r="L23" s="44"/>
      <c r="M23" s="151"/>
      <c r="N23" s="46">
        <v>42</v>
      </c>
      <c r="O23" s="156"/>
      <c r="P23" s="40" t="s">
        <v>160</v>
      </c>
      <c r="Q23" s="40">
        <v>232792755.51359999</v>
      </c>
      <c r="R23" s="40">
        <f t="shared" si="0"/>
        <v>-11651464.66</v>
      </c>
      <c r="S23" s="40">
        <v>6983782.6654000003</v>
      </c>
      <c r="T23" s="40">
        <v>0</v>
      </c>
      <c r="U23" s="40">
        <f t="shared" si="4"/>
        <v>6983782.6654000003</v>
      </c>
      <c r="V23" s="40">
        <v>96224541.972000003</v>
      </c>
      <c r="W23" s="45">
        <f t="shared" si="5"/>
        <v>324349615.491</v>
      </c>
    </row>
    <row r="24" spans="1:23" ht="24.9" customHeight="1">
      <c r="A24" s="36"/>
      <c r="B24" s="146" t="s">
        <v>161</v>
      </c>
      <c r="C24" s="147"/>
      <c r="D24" s="41"/>
      <c r="E24" s="41">
        <f>SUM(E7:E23)</f>
        <v>2994710182.1146002</v>
      </c>
      <c r="F24" s="41">
        <f t="shared" ref="F24:K24" si="6">SUM(F7:F23)</f>
        <v>0</v>
      </c>
      <c r="G24" s="41">
        <f t="shared" si="6"/>
        <v>89841305.463399991</v>
      </c>
      <c r="H24" s="41">
        <f t="shared" si="6"/>
        <v>44920652.731699996</v>
      </c>
      <c r="I24" s="41">
        <f t="shared" si="6"/>
        <v>44920652.731699996</v>
      </c>
      <c r="J24" s="41">
        <f t="shared" si="6"/>
        <v>1095222860.3514001</v>
      </c>
      <c r="K24" s="41">
        <f t="shared" si="6"/>
        <v>4134853695.1976995</v>
      </c>
      <c r="L24" s="44"/>
      <c r="M24" s="151"/>
      <c r="N24" s="46">
        <v>43</v>
      </c>
      <c r="O24" s="156"/>
      <c r="P24" s="40" t="s">
        <v>162</v>
      </c>
      <c r="Q24" s="40">
        <v>151921011.22889999</v>
      </c>
      <c r="R24" s="40">
        <f t="shared" si="0"/>
        <v>-11651464.66</v>
      </c>
      <c r="S24" s="40">
        <v>4557630.3369000005</v>
      </c>
      <c r="T24" s="40">
        <v>0</v>
      </c>
      <c r="U24" s="40">
        <f t="shared" si="4"/>
        <v>4557630.3369000005</v>
      </c>
      <c r="V24" s="40">
        <v>64212904.496399999</v>
      </c>
      <c r="W24" s="45">
        <f t="shared" si="5"/>
        <v>209040081.40219998</v>
      </c>
    </row>
    <row r="25" spans="1:23" ht="24.9" customHeight="1">
      <c r="A25" s="151">
        <v>2</v>
      </c>
      <c r="B25" s="152" t="s">
        <v>163</v>
      </c>
      <c r="C25" s="36">
        <v>1</v>
      </c>
      <c r="D25" s="40" t="s">
        <v>164</v>
      </c>
      <c r="E25" s="40">
        <v>186692153.84650001</v>
      </c>
      <c r="F25" s="40">
        <f t="shared" ref="F25:F45" si="7">-1388888.89</f>
        <v>-1388888.89</v>
      </c>
      <c r="G25" s="40">
        <v>5600764.6153999995</v>
      </c>
      <c r="H25" s="40">
        <v>0</v>
      </c>
      <c r="I25" s="40">
        <f t="shared" si="2"/>
        <v>5600764.6153999995</v>
      </c>
      <c r="J25" s="40">
        <v>65084997.909900002</v>
      </c>
      <c r="K25" s="45">
        <f>E25+F25+G25-H25+J25</f>
        <v>255989027.48180002</v>
      </c>
      <c r="L25" s="44"/>
      <c r="M25" s="151"/>
      <c r="N25" s="46">
        <v>44</v>
      </c>
      <c r="O25" s="157"/>
      <c r="P25" s="40" t="s">
        <v>165</v>
      </c>
      <c r="Q25" s="40">
        <v>178637961.24779999</v>
      </c>
      <c r="R25" s="40">
        <f t="shared" si="0"/>
        <v>-11651464.66</v>
      </c>
      <c r="S25" s="40">
        <v>5359138.8373999996</v>
      </c>
      <c r="T25" s="40">
        <v>0</v>
      </c>
      <c r="U25" s="40">
        <f t="shared" si="4"/>
        <v>5359138.8373999996</v>
      </c>
      <c r="V25" s="40">
        <v>71708733.686000004</v>
      </c>
      <c r="W25" s="45">
        <f t="shared" si="5"/>
        <v>244054369.11119998</v>
      </c>
    </row>
    <row r="26" spans="1:23" ht="24.9" customHeight="1">
      <c r="A26" s="151"/>
      <c r="B26" s="153"/>
      <c r="C26" s="36">
        <v>2</v>
      </c>
      <c r="D26" s="40" t="s">
        <v>166</v>
      </c>
      <c r="E26" s="40">
        <v>228071982.26050001</v>
      </c>
      <c r="F26" s="40">
        <f t="shared" si="7"/>
        <v>-1388888.89</v>
      </c>
      <c r="G26" s="40">
        <v>6842159.4677999998</v>
      </c>
      <c r="H26" s="40">
        <v>0</v>
      </c>
      <c r="I26" s="40">
        <f t="shared" si="2"/>
        <v>6842159.4677999998</v>
      </c>
      <c r="J26" s="40">
        <v>68678083.934699997</v>
      </c>
      <c r="K26" s="45">
        <f t="shared" si="3"/>
        <v>302203336.773</v>
      </c>
      <c r="L26" s="44"/>
      <c r="M26" s="47"/>
      <c r="N26" s="147"/>
      <c r="O26" s="148"/>
      <c r="P26" s="41"/>
      <c r="Q26" s="41">
        <f>3511105472.7562+4734539502.74</f>
        <v>8245644975.4961996</v>
      </c>
      <c r="R26" s="41">
        <f>-221377828.54-291286616.5</f>
        <v>-512664445.03999996</v>
      </c>
      <c r="S26" s="41">
        <f>105333164.1825+142036185.08</f>
        <v>247369349.26250002</v>
      </c>
      <c r="T26" s="40">
        <v>0</v>
      </c>
      <c r="U26" s="41">
        <f>105333164.1825+142036185.08</f>
        <v>247369349.26250002</v>
      </c>
      <c r="V26" s="41">
        <f>1412124180.3892+1907240317.44</f>
        <v>3319364497.8291998</v>
      </c>
      <c r="W26" s="41">
        <f>4807184988.7879+6492529388.76</f>
        <v>11299714377.547901</v>
      </c>
    </row>
    <row r="27" spans="1:23" ht="24.9" customHeight="1">
      <c r="A27" s="151"/>
      <c r="B27" s="153"/>
      <c r="C27" s="36">
        <v>3</v>
      </c>
      <c r="D27" s="40" t="s">
        <v>167</v>
      </c>
      <c r="E27" s="40">
        <v>194203358.23280001</v>
      </c>
      <c r="F27" s="40">
        <f t="shared" si="7"/>
        <v>-1388888.89</v>
      </c>
      <c r="G27" s="40">
        <v>5826100.7470000004</v>
      </c>
      <c r="H27" s="40">
        <v>0</v>
      </c>
      <c r="I27" s="40">
        <f t="shared" si="2"/>
        <v>5826100.7470000004</v>
      </c>
      <c r="J27" s="40">
        <v>62936801.338500001</v>
      </c>
      <c r="K27" s="45">
        <f t="shared" si="3"/>
        <v>261577371.42830002</v>
      </c>
      <c r="L27" s="44"/>
      <c r="M27" s="152">
        <v>20</v>
      </c>
      <c r="N27" s="46">
        <v>1</v>
      </c>
      <c r="O27" s="152" t="s">
        <v>102</v>
      </c>
      <c r="P27" s="40" t="s">
        <v>168</v>
      </c>
      <c r="Q27" s="40">
        <v>181522309.57530001</v>
      </c>
      <c r="R27" s="40">
        <v>0</v>
      </c>
      <c r="S27" s="40">
        <v>5445669.2873</v>
      </c>
      <c r="T27" s="40">
        <v>0</v>
      </c>
      <c r="U27" s="40">
        <f t="shared" si="4"/>
        <v>5445669.2873</v>
      </c>
      <c r="V27" s="40">
        <v>60641643.113499999</v>
      </c>
      <c r="W27" s="45">
        <f t="shared" si="5"/>
        <v>247609621.9761</v>
      </c>
    </row>
    <row r="28" spans="1:23" ht="24.9" customHeight="1">
      <c r="A28" s="151"/>
      <c r="B28" s="153"/>
      <c r="C28" s="36">
        <v>4</v>
      </c>
      <c r="D28" s="40" t="s">
        <v>169</v>
      </c>
      <c r="E28" s="40">
        <v>170027838.32749999</v>
      </c>
      <c r="F28" s="40">
        <f t="shared" si="7"/>
        <v>-1388888.89</v>
      </c>
      <c r="G28" s="40">
        <v>5100835.1497999998</v>
      </c>
      <c r="H28" s="40">
        <v>0</v>
      </c>
      <c r="I28" s="40">
        <f t="shared" si="2"/>
        <v>5100835.1497999998</v>
      </c>
      <c r="J28" s="40">
        <v>58405972.489600003</v>
      </c>
      <c r="K28" s="45">
        <f t="shared" si="3"/>
        <v>232145757.07690001</v>
      </c>
      <c r="L28" s="44"/>
      <c r="M28" s="153"/>
      <c r="N28" s="46">
        <v>2</v>
      </c>
      <c r="O28" s="153"/>
      <c r="P28" s="40" t="s">
        <v>170</v>
      </c>
      <c r="Q28" s="40">
        <v>187048097.9585</v>
      </c>
      <c r="R28" s="40">
        <v>0</v>
      </c>
      <c r="S28" s="40">
        <v>5611442.9387999997</v>
      </c>
      <c r="T28" s="40">
        <v>0</v>
      </c>
      <c r="U28" s="40">
        <f t="shared" si="4"/>
        <v>5611442.9387999997</v>
      </c>
      <c r="V28" s="40">
        <v>65320256.829099998</v>
      </c>
      <c r="W28" s="45">
        <f t="shared" si="5"/>
        <v>257979797.72640002</v>
      </c>
    </row>
    <row r="29" spans="1:23" ht="24.9" customHeight="1">
      <c r="A29" s="151"/>
      <c r="B29" s="153"/>
      <c r="C29" s="36">
        <v>5</v>
      </c>
      <c r="D29" s="40" t="s">
        <v>171</v>
      </c>
      <c r="E29" s="40">
        <v>168248638.92789999</v>
      </c>
      <c r="F29" s="40">
        <f t="shared" si="7"/>
        <v>-1388888.89</v>
      </c>
      <c r="G29" s="40">
        <v>5047459.1677999999</v>
      </c>
      <c r="H29" s="40">
        <v>0</v>
      </c>
      <c r="I29" s="40">
        <f t="shared" si="2"/>
        <v>5047459.1677999999</v>
      </c>
      <c r="J29" s="40">
        <v>60590052.077299997</v>
      </c>
      <c r="K29" s="45">
        <f t="shared" si="3"/>
        <v>232497261.28299999</v>
      </c>
      <c r="L29" s="44"/>
      <c r="M29" s="153"/>
      <c r="N29" s="46">
        <v>3</v>
      </c>
      <c r="O29" s="153"/>
      <c r="P29" s="40" t="s">
        <v>172</v>
      </c>
      <c r="Q29" s="40">
        <v>203490659.66159999</v>
      </c>
      <c r="R29" s="40">
        <v>1E-4</v>
      </c>
      <c r="S29" s="40">
        <v>6104719.7899000002</v>
      </c>
      <c r="T29" s="40">
        <v>0</v>
      </c>
      <c r="U29" s="40">
        <f t="shared" si="4"/>
        <v>6104719.7899000002</v>
      </c>
      <c r="V29" s="40">
        <v>68563416.995700002</v>
      </c>
      <c r="W29" s="45">
        <f t="shared" si="5"/>
        <v>278158796.44729996</v>
      </c>
    </row>
    <row r="30" spans="1:23" ht="24.9" customHeight="1">
      <c r="A30" s="151"/>
      <c r="B30" s="153"/>
      <c r="C30" s="36">
        <v>6</v>
      </c>
      <c r="D30" s="40" t="s">
        <v>173</v>
      </c>
      <c r="E30" s="40">
        <v>179882039.7897</v>
      </c>
      <c r="F30" s="40">
        <f t="shared" si="7"/>
        <v>-1388888.89</v>
      </c>
      <c r="G30" s="40">
        <v>5396461.1936999997</v>
      </c>
      <c r="H30" s="40">
        <v>0</v>
      </c>
      <c r="I30" s="40">
        <f t="shared" si="2"/>
        <v>5396461.1936999997</v>
      </c>
      <c r="J30" s="40">
        <v>64757266.361699998</v>
      </c>
      <c r="K30" s="45">
        <f t="shared" si="3"/>
        <v>248646878.4551</v>
      </c>
      <c r="L30" s="44"/>
      <c r="M30" s="153"/>
      <c r="N30" s="46">
        <v>4</v>
      </c>
      <c r="O30" s="153"/>
      <c r="P30" s="40" t="s">
        <v>174</v>
      </c>
      <c r="Q30" s="40">
        <v>190792731.18830001</v>
      </c>
      <c r="R30" s="40">
        <v>0</v>
      </c>
      <c r="S30" s="40">
        <v>5723781.9356000004</v>
      </c>
      <c r="T30" s="40">
        <v>0</v>
      </c>
      <c r="U30" s="40">
        <f t="shared" si="4"/>
        <v>5723781.9356000004</v>
      </c>
      <c r="V30" s="40">
        <v>67028022.601400003</v>
      </c>
      <c r="W30" s="45">
        <f t="shared" si="5"/>
        <v>263544535.72530001</v>
      </c>
    </row>
    <row r="31" spans="1:23" ht="24.9" customHeight="1">
      <c r="A31" s="151"/>
      <c r="B31" s="153"/>
      <c r="C31" s="36">
        <v>7</v>
      </c>
      <c r="D31" s="40" t="s">
        <v>175</v>
      </c>
      <c r="E31" s="40">
        <v>195934669.94600001</v>
      </c>
      <c r="F31" s="40">
        <f t="shared" si="7"/>
        <v>-1388888.89</v>
      </c>
      <c r="G31" s="40">
        <v>5878040.0983999996</v>
      </c>
      <c r="H31" s="40">
        <v>0</v>
      </c>
      <c r="I31" s="40">
        <f t="shared" si="2"/>
        <v>5878040.0983999996</v>
      </c>
      <c r="J31" s="40">
        <v>63606484.741300002</v>
      </c>
      <c r="K31" s="45">
        <f t="shared" si="3"/>
        <v>264030305.89570004</v>
      </c>
      <c r="L31" s="44"/>
      <c r="M31" s="153"/>
      <c r="N31" s="46">
        <v>5</v>
      </c>
      <c r="O31" s="153"/>
      <c r="P31" s="40" t="s">
        <v>176</v>
      </c>
      <c r="Q31" s="40">
        <v>178432834.0108</v>
      </c>
      <c r="R31" s="40">
        <v>0</v>
      </c>
      <c r="S31" s="40">
        <v>5352985.0203</v>
      </c>
      <c r="T31" s="40">
        <v>0</v>
      </c>
      <c r="U31" s="40">
        <f t="shared" si="4"/>
        <v>5352985.0203</v>
      </c>
      <c r="V31" s="40">
        <v>61038349.792900003</v>
      </c>
      <c r="W31" s="45">
        <f t="shared" si="5"/>
        <v>244824168.824</v>
      </c>
    </row>
    <row r="32" spans="1:23" ht="24.9" customHeight="1">
      <c r="A32" s="151"/>
      <c r="B32" s="153"/>
      <c r="C32" s="36">
        <v>8</v>
      </c>
      <c r="D32" s="40" t="s">
        <v>177</v>
      </c>
      <c r="E32" s="40">
        <v>204964009.49959999</v>
      </c>
      <c r="F32" s="40">
        <f t="shared" si="7"/>
        <v>-1388888.89</v>
      </c>
      <c r="G32" s="40">
        <v>6148920.2850000001</v>
      </c>
      <c r="H32" s="40">
        <v>0</v>
      </c>
      <c r="I32" s="40">
        <f t="shared" si="2"/>
        <v>6148920.2850000001</v>
      </c>
      <c r="J32" s="40">
        <v>63519701.001999997</v>
      </c>
      <c r="K32" s="45">
        <f t="shared" si="3"/>
        <v>273243741.89660001</v>
      </c>
      <c r="L32" s="44"/>
      <c r="M32" s="153"/>
      <c r="N32" s="46">
        <v>6</v>
      </c>
      <c r="O32" s="153"/>
      <c r="P32" s="40" t="s">
        <v>178</v>
      </c>
      <c r="Q32" s="40">
        <v>166903346.9506</v>
      </c>
      <c r="R32" s="40">
        <v>0</v>
      </c>
      <c r="S32" s="40">
        <v>5007100.4084999999</v>
      </c>
      <c r="T32" s="40">
        <v>0</v>
      </c>
      <c r="U32" s="40">
        <f t="shared" si="4"/>
        <v>5007100.4084999999</v>
      </c>
      <c r="V32" s="40">
        <v>59079004.206799999</v>
      </c>
      <c r="W32" s="45">
        <f t="shared" si="5"/>
        <v>230989451.56589997</v>
      </c>
    </row>
    <row r="33" spans="1:23" ht="24.9" customHeight="1">
      <c r="A33" s="151"/>
      <c r="B33" s="153"/>
      <c r="C33" s="36">
        <v>9</v>
      </c>
      <c r="D33" s="40" t="s">
        <v>179</v>
      </c>
      <c r="E33" s="40">
        <v>178206008.3355</v>
      </c>
      <c r="F33" s="40">
        <f t="shared" si="7"/>
        <v>-1388888.89</v>
      </c>
      <c r="G33" s="40">
        <v>5346180.2500999998</v>
      </c>
      <c r="H33" s="40">
        <v>0</v>
      </c>
      <c r="I33" s="40">
        <f t="shared" si="2"/>
        <v>5346180.2500999998</v>
      </c>
      <c r="J33" s="40">
        <v>67476667.391399994</v>
      </c>
      <c r="K33" s="45">
        <f t="shared" si="3"/>
        <v>249639967.08700001</v>
      </c>
      <c r="L33" s="44"/>
      <c r="M33" s="153"/>
      <c r="N33" s="46">
        <v>7</v>
      </c>
      <c r="O33" s="153"/>
      <c r="P33" s="40" t="s">
        <v>180</v>
      </c>
      <c r="Q33" s="40">
        <v>167449543.5645</v>
      </c>
      <c r="R33" s="40">
        <v>0</v>
      </c>
      <c r="S33" s="40">
        <v>5023486.3069000002</v>
      </c>
      <c r="T33" s="40">
        <v>0</v>
      </c>
      <c r="U33" s="40">
        <f t="shared" si="4"/>
        <v>5023486.3069000002</v>
      </c>
      <c r="V33" s="40">
        <v>55899768.9692</v>
      </c>
      <c r="W33" s="45">
        <f t="shared" si="5"/>
        <v>228372798.84060001</v>
      </c>
    </row>
    <row r="34" spans="1:23" ht="24.9" customHeight="1">
      <c r="A34" s="151"/>
      <c r="B34" s="153"/>
      <c r="C34" s="36">
        <v>10</v>
      </c>
      <c r="D34" s="40" t="s">
        <v>181</v>
      </c>
      <c r="E34" s="40">
        <v>159560044.7507</v>
      </c>
      <c r="F34" s="40">
        <f t="shared" si="7"/>
        <v>-1388888.89</v>
      </c>
      <c r="G34" s="40">
        <v>4786801.3425000003</v>
      </c>
      <c r="H34" s="40">
        <v>0</v>
      </c>
      <c r="I34" s="40">
        <f t="shared" si="2"/>
        <v>4786801.3425000003</v>
      </c>
      <c r="J34" s="40">
        <v>56121154.656400003</v>
      </c>
      <c r="K34" s="45">
        <f t="shared" si="3"/>
        <v>219079111.85960001</v>
      </c>
      <c r="L34" s="44"/>
      <c r="M34" s="153"/>
      <c r="N34" s="46">
        <v>8</v>
      </c>
      <c r="O34" s="153"/>
      <c r="P34" s="40" t="s">
        <v>182</v>
      </c>
      <c r="Q34" s="40">
        <v>179288202.54640001</v>
      </c>
      <c r="R34" s="40">
        <v>0</v>
      </c>
      <c r="S34" s="40">
        <v>5378646.0763999997</v>
      </c>
      <c r="T34" s="40">
        <v>0</v>
      </c>
      <c r="U34" s="40">
        <f t="shared" si="4"/>
        <v>5378646.0763999997</v>
      </c>
      <c r="V34" s="40">
        <v>60158950.095200002</v>
      </c>
      <c r="W34" s="45">
        <f t="shared" si="5"/>
        <v>244825798.71800002</v>
      </c>
    </row>
    <row r="35" spans="1:23" ht="24.9" customHeight="1">
      <c r="A35" s="151"/>
      <c r="B35" s="153"/>
      <c r="C35" s="36">
        <v>11</v>
      </c>
      <c r="D35" s="40" t="s">
        <v>183</v>
      </c>
      <c r="E35" s="40">
        <v>162148682.9937</v>
      </c>
      <c r="F35" s="40">
        <f t="shared" si="7"/>
        <v>-1388888.89</v>
      </c>
      <c r="G35" s="40">
        <v>4864460.4897999996</v>
      </c>
      <c r="H35" s="40">
        <v>0</v>
      </c>
      <c r="I35" s="40">
        <f t="shared" si="2"/>
        <v>4864460.4897999996</v>
      </c>
      <c r="J35" s="40">
        <v>59048145.579999998</v>
      </c>
      <c r="K35" s="45">
        <f t="shared" si="3"/>
        <v>224672400.1735</v>
      </c>
      <c r="L35" s="44"/>
      <c r="M35" s="153"/>
      <c r="N35" s="46">
        <v>9</v>
      </c>
      <c r="O35" s="153"/>
      <c r="P35" s="40" t="s">
        <v>184</v>
      </c>
      <c r="Q35" s="40">
        <v>168163809.77289999</v>
      </c>
      <c r="R35" s="40">
        <v>0</v>
      </c>
      <c r="S35" s="40">
        <v>5044914.2932000002</v>
      </c>
      <c r="T35" s="40">
        <v>0</v>
      </c>
      <c r="U35" s="40">
        <f t="shared" si="4"/>
        <v>5044914.2932000002</v>
      </c>
      <c r="V35" s="40">
        <v>57496164.491099998</v>
      </c>
      <c r="W35" s="45">
        <f t="shared" si="5"/>
        <v>230704888.55719995</v>
      </c>
    </row>
    <row r="36" spans="1:23" ht="24.9" customHeight="1">
      <c r="A36" s="151"/>
      <c r="B36" s="153"/>
      <c r="C36" s="36">
        <v>12</v>
      </c>
      <c r="D36" s="40" t="s">
        <v>185</v>
      </c>
      <c r="E36" s="40">
        <v>158753999.22029999</v>
      </c>
      <c r="F36" s="40">
        <f t="shared" si="7"/>
        <v>-1388888.89</v>
      </c>
      <c r="G36" s="40">
        <v>4762619.9765999997</v>
      </c>
      <c r="H36" s="40">
        <v>0</v>
      </c>
      <c r="I36" s="40">
        <f t="shared" si="2"/>
        <v>4762619.9765999997</v>
      </c>
      <c r="J36" s="40">
        <v>55910109.361000001</v>
      </c>
      <c r="K36" s="45">
        <f t="shared" si="3"/>
        <v>218037839.6679</v>
      </c>
      <c r="L36" s="44"/>
      <c r="M36" s="153"/>
      <c r="N36" s="46">
        <v>10</v>
      </c>
      <c r="O36" s="153"/>
      <c r="P36" s="40" t="s">
        <v>186</v>
      </c>
      <c r="Q36" s="40">
        <v>202754020.71110001</v>
      </c>
      <c r="R36" s="40">
        <v>0</v>
      </c>
      <c r="S36" s="40">
        <v>6082620.6212999998</v>
      </c>
      <c r="T36" s="40">
        <v>0</v>
      </c>
      <c r="U36" s="40">
        <f t="shared" si="4"/>
        <v>6082620.6212999998</v>
      </c>
      <c r="V36" s="40">
        <v>69991162.341299996</v>
      </c>
      <c r="W36" s="45">
        <f t="shared" si="5"/>
        <v>278827803.67370003</v>
      </c>
    </row>
    <row r="37" spans="1:23" ht="24.9" customHeight="1">
      <c r="A37" s="151"/>
      <c r="B37" s="153"/>
      <c r="C37" s="36">
        <v>13</v>
      </c>
      <c r="D37" s="40" t="s">
        <v>187</v>
      </c>
      <c r="E37" s="40">
        <v>184078675.11410001</v>
      </c>
      <c r="F37" s="40">
        <f t="shared" si="7"/>
        <v>-1388888.89</v>
      </c>
      <c r="G37" s="40">
        <v>5522360.2533999998</v>
      </c>
      <c r="H37" s="40">
        <v>0</v>
      </c>
      <c r="I37" s="40">
        <f t="shared" si="2"/>
        <v>5522360.2533999998</v>
      </c>
      <c r="J37" s="40">
        <v>61480482.479900002</v>
      </c>
      <c r="K37" s="45">
        <f t="shared" si="3"/>
        <v>249692628.95740002</v>
      </c>
      <c r="L37" s="44"/>
      <c r="M37" s="153"/>
      <c r="N37" s="46">
        <v>11</v>
      </c>
      <c r="O37" s="153"/>
      <c r="P37" s="40" t="s">
        <v>188</v>
      </c>
      <c r="Q37" s="40">
        <v>167336361.74270001</v>
      </c>
      <c r="R37" s="40">
        <v>0</v>
      </c>
      <c r="S37" s="40">
        <v>5020090.8523000004</v>
      </c>
      <c r="T37" s="40">
        <v>0</v>
      </c>
      <c r="U37" s="40">
        <f t="shared" si="4"/>
        <v>5020090.8523000004</v>
      </c>
      <c r="V37" s="40">
        <v>56741292.149700001</v>
      </c>
      <c r="W37" s="45">
        <f t="shared" si="5"/>
        <v>229097744.74470001</v>
      </c>
    </row>
    <row r="38" spans="1:23" ht="24.9" customHeight="1">
      <c r="A38" s="151"/>
      <c r="B38" s="153"/>
      <c r="C38" s="36">
        <v>14</v>
      </c>
      <c r="D38" s="40" t="s">
        <v>189</v>
      </c>
      <c r="E38" s="40">
        <v>178453373.78240001</v>
      </c>
      <c r="F38" s="40">
        <f t="shared" si="7"/>
        <v>-1388888.89</v>
      </c>
      <c r="G38" s="40">
        <v>5353601.2134999996</v>
      </c>
      <c r="H38" s="40">
        <v>0</v>
      </c>
      <c r="I38" s="40">
        <f t="shared" si="2"/>
        <v>5353601.2134999996</v>
      </c>
      <c r="J38" s="40">
        <v>61769274.310500003</v>
      </c>
      <c r="K38" s="45">
        <f t="shared" si="3"/>
        <v>244187360.41640002</v>
      </c>
      <c r="L38" s="44"/>
      <c r="M38" s="153"/>
      <c r="N38" s="46">
        <v>12</v>
      </c>
      <c r="O38" s="153"/>
      <c r="P38" s="40" t="s">
        <v>190</v>
      </c>
      <c r="Q38" s="40">
        <v>185855800.67230001</v>
      </c>
      <c r="R38" s="40">
        <v>0</v>
      </c>
      <c r="S38" s="40">
        <v>5575674.0202000001</v>
      </c>
      <c r="T38" s="40">
        <v>0</v>
      </c>
      <c r="U38" s="40">
        <f t="shared" si="4"/>
        <v>5575674.0202000001</v>
      </c>
      <c r="V38" s="40">
        <v>63339514.333499998</v>
      </c>
      <c r="W38" s="45">
        <f t="shared" si="5"/>
        <v>254770989.02600002</v>
      </c>
    </row>
    <row r="39" spans="1:23" ht="24.9" customHeight="1">
      <c r="A39" s="151"/>
      <c r="B39" s="153"/>
      <c r="C39" s="36">
        <v>15</v>
      </c>
      <c r="D39" s="40" t="s">
        <v>191</v>
      </c>
      <c r="E39" s="40">
        <v>170287456.09830001</v>
      </c>
      <c r="F39" s="40">
        <f t="shared" si="7"/>
        <v>-1388888.89</v>
      </c>
      <c r="G39" s="40">
        <v>5108623.6830000002</v>
      </c>
      <c r="H39" s="40">
        <v>0</v>
      </c>
      <c r="I39" s="40">
        <f t="shared" si="2"/>
        <v>5108623.6830000002</v>
      </c>
      <c r="J39" s="40">
        <v>61207107.056299999</v>
      </c>
      <c r="K39" s="45">
        <f t="shared" si="3"/>
        <v>235214297.94760001</v>
      </c>
      <c r="L39" s="44"/>
      <c r="M39" s="153"/>
      <c r="N39" s="46">
        <v>13</v>
      </c>
      <c r="O39" s="153"/>
      <c r="P39" s="40" t="s">
        <v>192</v>
      </c>
      <c r="Q39" s="40">
        <v>202540688.6162</v>
      </c>
      <c r="R39" s="40">
        <v>0</v>
      </c>
      <c r="S39" s="40">
        <v>6076220.6584999999</v>
      </c>
      <c r="T39" s="40">
        <v>0</v>
      </c>
      <c r="U39" s="40">
        <f t="shared" si="4"/>
        <v>6076220.6584999999</v>
      </c>
      <c r="V39" s="40">
        <v>66843291.517899998</v>
      </c>
      <c r="W39" s="45">
        <f t="shared" si="5"/>
        <v>275460200.79259998</v>
      </c>
    </row>
    <row r="40" spans="1:23" ht="24.9" customHeight="1">
      <c r="A40" s="151"/>
      <c r="B40" s="153"/>
      <c r="C40" s="36">
        <v>16</v>
      </c>
      <c r="D40" s="40" t="s">
        <v>193</v>
      </c>
      <c r="E40" s="40">
        <v>158644047.3795</v>
      </c>
      <c r="F40" s="40">
        <f t="shared" si="7"/>
        <v>-1388888.89</v>
      </c>
      <c r="G40" s="40">
        <v>4759321.4214000003</v>
      </c>
      <c r="H40" s="40">
        <v>0</v>
      </c>
      <c r="I40" s="40">
        <f t="shared" si="2"/>
        <v>4759321.4214000003</v>
      </c>
      <c r="J40" s="40">
        <v>58265364.226000004</v>
      </c>
      <c r="K40" s="45">
        <f t="shared" si="3"/>
        <v>220279844.13690004</v>
      </c>
      <c r="L40" s="44"/>
      <c r="M40" s="153"/>
      <c r="N40" s="46">
        <v>14</v>
      </c>
      <c r="O40" s="153"/>
      <c r="P40" s="40" t="s">
        <v>194</v>
      </c>
      <c r="Q40" s="40">
        <v>202067106.7049</v>
      </c>
      <c r="R40" s="40">
        <v>0</v>
      </c>
      <c r="S40" s="40">
        <v>6062013.2011000002</v>
      </c>
      <c r="T40" s="40">
        <v>0</v>
      </c>
      <c r="U40" s="40">
        <f t="shared" si="4"/>
        <v>6062013.2011000002</v>
      </c>
      <c r="V40" s="40">
        <v>70768627.692900002</v>
      </c>
      <c r="W40" s="45">
        <f t="shared" si="5"/>
        <v>278897747.59889996</v>
      </c>
    </row>
    <row r="41" spans="1:23" ht="24.9" customHeight="1">
      <c r="A41" s="151"/>
      <c r="B41" s="153"/>
      <c r="C41" s="36">
        <v>17</v>
      </c>
      <c r="D41" s="40" t="s">
        <v>195</v>
      </c>
      <c r="E41" s="40">
        <v>150768483.25119999</v>
      </c>
      <c r="F41" s="40">
        <f t="shared" si="7"/>
        <v>-1388888.89</v>
      </c>
      <c r="G41" s="40">
        <v>4523054.4974999996</v>
      </c>
      <c r="H41" s="40">
        <v>0</v>
      </c>
      <c r="I41" s="40">
        <f t="shared" si="2"/>
        <v>4523054.4974999996</v>
      </c>
      <c r="J41" s="40">
        <v>53186721.329499997</v>
      </c>
      <c r="K41" s="45">
        <f t="shared" si="3"/>
        <v>207089370.1882</v>
      </c>
      <c r="L41" s="44"/>
      <c r="M41" s="153"/>
      <c r="N41" s="46">
        <v>15</v>
      </c>
      <c r="O41" s="153"/>
      <c r="P41" s="40" t="s">
        <v>196</v>
      </c>
      <c r="Q41" s="40">
        <v>176456190.5196</v>
      </c>
      <c r="R41" s="40">
        <v>0</v>
      </c>
      <c r="S41" s="40">
        <v>5293685.7155999998</v>
      </c>
      <c r="T41" s="40">
        <v>0</v>
      </c>
      <c r="U41" s="40">
        <f t="shared" si="4"/>
        <v>5293685.7155999998</v>
      </c>
      <c r="V41" s="40">
        <v>63350412.138400003</v>
      </c>
      <c r="W41" s="45">
        <f t="shared" si="5"/>
        <v>245100288.37360001</v>
      </c>
    </row>
    <row r="42" spans="1:23" ht="24.9" customHeight="1">
      <c r="A42" s="151"/>
      <c r="B42" s="153"/>
      <c r="C42" s="36">
        <v>18</v>
      </c>
      <c r="D42" s="40" t="s">
        <v>197</v>
      </c>
      <c r="E42" s="40">
        <v>170795870.98890001</v>
      </c>
      <c r="F42" s="40">
        <f t="shared" si="7"/>
        <v>-1388888.89</v>
      </c>
      <c r="G42" s="40">
        <v>5123876.1297000004</v>
      </c>
      <c r="H42" s="40">
        <v>0</v>
      </c>
      <c r="I42" s="40">
        <f t="shared" si="2"/>
        <v>5123876.1297000004</v>
      </c>
      <c r="J42" s="40">
        <v>60940908.2359</v>
      </c>
      <c r="K42" s="45">
        <f t="shared" si="3"/>
        <v>235471766.46450001</v>
      </c>
      <c r="L42" s="44"/>
      <c r="M42" s="153"/>
      <c r="N42" s="46">
        <v>16</v>
      </c>
      <c r="O42" s="153"/>
      <c r="P42" s="40" t="s">
        <v>198</v>
      </c>
      <c r="Q42" s="40">
        <v>198791186.15540001</v>
      </c>
      <c r="R42" s="40">
        <v>0</v>
      </c>
      <c r="S42" s="40">
        <v>5963735.5846999995</v>
      </c>
      <c r="T42" s="40">
        <v>0</v>
      </c>
      <c r="U42" s="40">
        <f t="shared" si="4"/>
        <v>5963735.5846999995</v>
      </c>
      <c r="V42" s="40">
        <v>63349747.638099998</v>
      </c>
      <c r="W42" s="45">
        <f t="shared" si="5"/>
        <v>268104669.37819999</v>
      </c>
    </row>
    <row r="43" spans="1:23" ht="24.9" customHeight="1">
      <c r="A43" s="151"/>
      <c r="B43" s="153"/>
      <c r="C43" s="36">
        <v>19</v>
      </c>
      <c r="D43" s="40" t="s">
        <v>199</v>
      </c>
      <c r="E43" s="40">
        <v>214983821.34720001</v>
      </c>
      <c r="F43" s="40">
        <f t="shared" si="7"/>
        <v>-1388888.89</v>
      </c>
      <c r="G43" s="40">
        <v>6449514.6403999999</v>
      </c>
      <c r="H43" s="40">
        <v>0</v>
      </c>
      <c r="I43" s="40">
        <f t="shared" si="2"/>
        <v>6449514.6403999999</v>
      </c>
      <c r="J43" s="40">
        <v>66739072.057800002</v>
      </c>
      <c r="K43" s="45">
        <f t="shared" si="3"/>
        <v>286783519.15540004</v>
      </c>
      <c r="L43" s="44"/>
      <c r="M43" s="153"/>
      <c r="N43" s="46">
        <v>17</v>
      </c>
      <c r="O43" s="153"/>
      <c r="P43" s="40" t="s">
        <v>200</v>
      </c>
      <c r="Q43" s="40">
        <v>205209393.5079</v>
      </c>
      <c r="R43" s="40">
        <v>0</v>
      </c>
      <c r="S43" s="40">
        <v>6156281.8052000003</v>
      </c>
      <c r="T43" s="40">
        <v>0</v>
      </c>
      <c r="U43" s="40">
        <f t="shared" si="4"/>
        <v>6156281.8052000003</v>
      </c>
      <c r="V43" s="40">
        <v>67753524.029499993</v>
      </c>
      <c r="W43" s="45">
        <f t="shared" si="5"/>
        <v>279119199.34259999</v>
      </c>
    </row>
    <row r="44" spans="1:23" ht="24.9" customHeight="1">
      <c r="A44" s="151"/>
      <c r="B44" s="153"/>
      <c r="C44" s="36">
        <v>20</v>
      </c>
      <c r="D44" s="40" t="s">
        <v>201</v>
      </c>
      <c r="E44" s="40">
        <v>184194023.884</v>
      </c>
      <c r="F44" s="40">
        <f t="shared" si="7"/>
        <v>-1388888.89</v>
      </c>
      <c r="G44" s="40">
        <v>5525820.7165000001</v>
      </c>
      <c r="H44" s="40">
        <v>0</v>
      </c>
      <c r="I44" s="40">
        <f t="shared" si="2"/>
        <v>5525820.7165000001</v>
      </c>
      <c r="J44" s="40">
        <v>48045748.304700002</v>
      </c>
      <c r="K44" s="45">
        <f t="shared" si="3"/>
        <v>236376704.01520002</v>
      </c>
      <c r="L44" s="44"/>
      <c r="M44" s="153"/>
      <c r="N44" s="46">
        <v>18</v>
      </c>
      <c r="O44" s="153"/>
      <c r="P44" s="40" t="s">
        <v>202</v>
      </c>
      <c r="Q44" s="40">
        <v>196441808.6631</v>
      </c>
      <c r="R44" s="40">
        <v>0</v>
      </c>
      <c r="S44" s="40">
        <v>5893254.2598999999</v>
      </c>
      <c r="T44" s="40">
        <v>0</v>
      </c>
      <c r="U44" s="40">
        <f t="shared" si="4"/>
        <v>5893254.2598999999</v>
      </c>
      <c r="V44" s="40">
        <v>65297132.218699999</v>
      </c>
      <c r="W44" s="45">
        <f t="shared" si="5"/>
        <v>267632195.1417</v>
      </c>
    </row>
    <row r="45" spans="1:23" ht="24.9" customHeight="1">
      <c r="A45" s="151"/>
      <c r="B45" s="153"/>
      <c r="C45" s="42">
        <v>21</v>
      </c>
      <c r="D45" s="40" t="s">
        <v>203</v>
      </c>
      <c r="E45" s="40">
        <v>178497905.81990001</v>
      </c>
      <c r="F45" s="40">
        <f t="shared" si="7"/>
        <v>-1388888.89</v>
      </c>
      <c r="G45" s="40">
        <v>5354937.1745999996</v>
      </c>
      <c r="H45" s="40">
        <v>0</v>
      </c>
      <c r="I45" s="40">
        <f t="shared" si="2"/>
        <v>5354937.1745999996</v>
      </c>
      <c r="J45" s="40">
        <v>66992911.172600001</v>
      </c>
      <c r="K45" s="45">
        <f t="shared" si="3"/>
        <v>249456865.27710003</v>
      </c>
      <c r="L45" s="44"/>
      <c r="M45" s="153"/>
      <c r="N45" s="46">
        <v>19</v>
      </c>
      <c r="O45" s="153"/>
      <c r="P45" s="40" t="s">
        <v>204</v>
      </c>
      <c r="Q45" s="40">
        <v>215420849.3414</v>
      </c>
      <c r="R45" s="40">
        <v>0</v>
      </c>
      <c r="S45" s="40">
        <v>6462625.4802000001</v>
      </c>
      <c r="T45" s="40">
        <v>0</v>
      </c>
      <c r="U45" s="40">
        <f t="shared" si="4"/>
        <v>6462625.4802000001</v>
      </c>
      <c r="V45" s="40">
        <v>73448956.104900002</v>
      </c>
      <c r="W45" s="45">
        <f t="shared" si="5"/>
        <v>295332430.92649996</v>
      </c>
    </row>
    <row r="46" spans="1:23" ht="24.9" customHeight="1">
      <c r="A46" s="36"/>
      <c r="B46" s="149" t="s">
        <v>205</v>
      </c>
      <c r="C46" s="149"/>
      <c r="D46" s="41"/>
      <c r="E46" s="41">
        <f>SUM(E25:E45)</f>
        <v>3777397083.7962003</v>
      </c>
      <c r="F46" s="41">
        <f t="shared" ref="F46:K46" si="8">SUM(F25:F45)</f>
        <v>-29166666.690000005</v>
      </c>
      <c r="G46" s="41">
        <f t="shared" si="8"/>
        <v>113321912.5139</v>
      </c>
      <c r="H46" s="41">
        <f t="shared" si="8"/>
        <v>0</v>
      </c>
      <c r="I46" s="41">
        <f t="shared" si="2"/>
        <v>113321912.5139</v>
      </c>
      <c r="J46" s="41">
        <f t="shared" si="8"/>
        <v>1284763026.017</v>
      </c>
      <c r="K46" s="41">
        <f t="shared" si="8"/>
        <v>5146315355.6371002</v>
      </c>
      <c r="L46" s="44"/>
      <c r="M46" s="153"/>
      <c r="N46" s="46">
        <v>20</v>
      </c>
      <c r="O46" s="153"/>
      <c r="P46" s="40" t="s">
        <v>206</v>
      </c>
      <c r="Q46" s="40">
        <v>171544467.58469999</v>
      </c>
      <c r="R46" s="40">
        <v>0</v>
      </c>
      <c r="S46" s="40">
        <v>5146334.0274999999</v>
      </c>
      <c r="T46" s="40">
        <v>0</v>
      </c>
      <c r="U46" s="40">
        <f t="shared" si="4"/>
        <v>5146334.0274999999</v>
      </c>
      <c r="V46" s="40">
        <v>60915815.9375</v>
      </c>
      <c r="W46" s="45">
        <f t="shared" si="5"/>
        <v>237606617.54969999</v>
      </c>
    </row>
    <row r="47" spans="1:23" ht="24.9" customHeight="1">
      <c r="A47" s="151">
        <v>3</v>
      </c>
      <c r="B47" s="152" t="s">
        <v>207</v>
      </c>
      <c r="C47" s="43">
        <v>1</v>
      </c>
      <c r="D47" s="40" t="s">
        <v>208</v>
      </c>
      <c r="E47" s="40">
        <v>171400186.9321</v>
      </c>
      <c r="F47" s="40">
        <v>0</v>
      </c>
      <c r="G47" s="40">
        <v>5142005.608</v>
      </c>
      <c r="H47" s="40">
        <f>G47/2</f>
        <v>2571002.804</v>
      </c>
      <c r="I47" s="40">
        <f t="shared" si="2"/>
        <v>2571002.804</v>
      </c>
      <c r="J47" s="40">
        <v>63163601.227200001</v>
      </c>
      <c r="K47" s="45">
        <f t="shared" si="3"/>
        <v>237134790.96330002</v>
      </c>
      <c r="L47" s="44"/>
      <c r="M47" s="153"/>
      <c r="N47" s="46">
        <v>21</v>
      </c>
      <c r="O47" s="153"/>
      <c r="P47" s="40" t="s">
        <v>102</v>
      </c>
      <c r="Q47" s="40">
        <v>236262068.99309999</v>
      </c>
      <c r="R47" s="40">
        <v>0</v>
      </c>
      <c r="S47" s="40">
        <v>7087862.0697999997</v>
      </c>
      <c r="T47" s="40">
        <v>0</v>
      </c>
      <c r="U47" s="40">
        <f t="shared" si="4"/>
        <v>7087862.0697999997</v>
      </c>
      <c r="V47" s="40">
        <v>83113448.475199997</v>
      </c>
      <c r="W47" s="45">
        <f t="shared" si="5"/>
        <v>326463379.5381</v>
      </c>
    </row>
    <row r="48" spans="1:23" ht="24.9" customHeight="1">
      <c r="A48" s="151"/>
      <c r="B48" s="153"/>
      <c r="C48" s="36">
        <v>2</v>
      </c>
      <c r="D48" s="40" t="s">
        <v>209</v>
      </c>
      <c r="E48" s="40">
        <v>133829005.3505</v>
      </c>
      <c r="F48" s="40">
        <v>0</v>
      </c>
      <c r="G48" s="40">
        <v>4014870.1605000002</v>
      </c>
      <c r="H48" s="40">
        <f t="shared" ref="H48:H77" si="9">G48/2</f>
        <v>2007435.0802500001</v>
      </c>
      <c r="I48" s="40">
        <f t="shared" ref="I48:I111" si="10">G48-H48</f>
        <v>2007435.0802500001</v>
      </c>
      <c r="J48" s="40">
        <v>52724700.206699997</v>
      </c>
      <c r="K48" s="45">
        <f t="shared" si="3"/>
        <v>188561140.63745001</v>
      </c>
      <c r="L48" s="44"/>
      <c r="M48" s="153"/>
      <c r="N48" s="46">
        <v>22</v>
      </c>
      <c r="O48" s="153"/>
      <c r="P48" s="40" t="s">
        <v>210</v>
      </c>
      <c r="Q48" s="40">
        <v>166244146.76789999</v>
      </c>
      <c r="R48" s="40">
        <v>0</v>
      </c>
      <c r="S48" s="40">
        <v>4987324.4029999999</v>
      </c>
      <c r="T48" s="40">
        <v>0</v>
      </c>
      <c r="U48" s="40">
        <f t="shared" si="4"/>
        <v>4987324.4029999999</v>
      </c>
      <c r="V48" s="40">
        <v>56416750.203000002</v>
      </c>
      <c r="W48" s="45">
        <f t="shared" si="5"/>
        <v>227648221.3739</v>
      </c>
    </row>
    <row r="49" spans="1:23" ht="24.9" customHeight="1">
      <c r="A49" s="151"/>
      <c r="B49" s="153"/>
      <c r="C49" s="36">
        <v>3</v>
      </c>
      <c r="D49" s="40" t="s">
        <v>211</v>
      </c>
      <c r="E49" s="40">
        <v>176692200.33829999</v>
      </c>
      <c r="F49" s="40">
        <v>0</v>
      </c>
      <c r="G49" s="40">
        <v>5300766.0102000004</v>
      </c>
      <c r="H49" s="40">
        <f t="shared" si="9"/>
        <v>2650383.0051000002</v>
      </c>
      <c r="I49" s="40">
        <f t="shared" si="10"/>
        <v>2650383.0051000002</v>
      </c>
      <c r="J49" s="40">
        <v>67611367.538499996</v>
      </c>
      <c r="K49" s="45">
        <f t="shared" si="3"/>
        <v>246953950.88189995</v>
      </c>
      <c r="L49" s="44"/>
      <c r="M49" s="153"/>
      <c r="N49" s="46">
        <v>23</v>
      </c>
      <c r="O49" s="153"/>
      <c r="P49" s="40" t="s">
        <v>212</v>
      </c>
      <c r="Q49" s="40">
        <v>157056649.38060001</v>
      </c>
      <c r="R49" s="40">
        <v>0</v>
      </c>
      <c r="S49" s="40">
        <v>4711699.4813999999</v>
      </c>
      <c r="T49" s="40">
        <v>0</v>
      </c>
      <c r="U49" s="40">
        <f t="shared" si="4"/>
        <v>4711699.4813999999</v>
      </c>
      <c r="V49" s="40">
        <v>53982818.502400003</v>
      </c>
      <c r="W49" s="45">
        <f t="shared" si="5"/>
        <v>215751167.36440003</v>
      </c>
    </row>
    <row r="50" spans="1:23" ht="24.9" customHeight="1">
      <c r="A50" s="151"/>
      <c r="B50" s="153"/>
      <c r="C50" s="36">
        <v>4</v>
      </c>
      <c r="D50" s="40" t="s">
        <v>213</v>
      </c>
      <c r="E50" s="40">
        <v>135454640.82249999</v>
      </c>
      <c r="F50" s="40">
        <v>0</v>
      </c>
      <c r="G50" s="40">
        <v>4063639.2247000001</v>
      </c>
      <c r="H50" s="40">
        <f t="shared" si="9"/>
        <v>2031819.6123500001</v>
      </c>
      <c r="I50" s="40">
        <f t="shared" si="10"/>
        <v>2031819.6123500001</v>
      </c>
      <c r="J50" s="40">
        <v>54592211.851199999</v>
      </c>
      <c r="K50" s="45">
        <f t="shared" si="3"/>
        <v>192078672.28605002</v>
      </c>
      <c r="L50" s="44"/>
      <c r="M50" s="153"/>
      <c r="N50" s="46">
        <v>24</v>
      </c>
      <c r="O50" s="153"/>
      <c r="P50" s="40" t="s">
        <v>214</v>
      </c>
      <c r="Q50" s="40">
        <v>191057059.86739999</v>
      </c>
      <c r="R50" s="40">
        <v>0</v>
      </c>
      <c r="S50" s="40">
        <v>5731711.7960000001</v>
      </c>
      <c r="T50" s="40">
        <v>0</v>
      </c>
      <c r="U50" s="40">
        <f t="shared" si="4"/>
        <v>5731711.7960000001</v>
      </c>
      <c r="V50" s="40">
        <v>67526796.526899993</v>
      </c>
      <c r="W50" s="45">
        <f t="shared" si="5"/>
        <v>264315568.19029999</v>
      </c>
    </row>
    <row r="51" spans="1:23" ht="24.9" customHeight="1">
      <c r="A51" s="151"/>
      <c r="B51" s="153"/>
      <c r="C51" s="36">
        <v>5</v>
      </c>
      <c r="D51" s="40" t="s">
        <v>215</v>
      </c>
      <c r="E51" s="40">
        <v>182028794.9005</v>
      </c>
      <c r="F51" s="40">
        <v>0</v>
      </c>
      <c r="G51" s="40">
        <v>5460863.8470000001</v>
      </c>
      <c r="H51" s="40">
        <f t="shared" si="9"/>
        <v>2730431.9235</v>
      </c>
      <c r="I51" s="40">
        <f t="shared" si="10"/>
        <v>2730431.9235</v>
      </c>
      <c r="J51" s="40">
        <v>70284120.647100002</v>
      </c>
      <c r="K51" s="45">
        <f t="shared" si="3"/>
        <v>255043347.4711</v>
      </c>
      <c r="L51" s="44"/>
      <c r="M51" s="153"/>
      <c r="N51" s="46">
        <v>25</v>
      </c>
      <c r="O51" s="153"/>
      <c r="P51" s="40" t="s">
        <v>216</v>
      </c>
      <c r="Q51" s="40">
        <v>190124717.26120001</v>
      </c>
      <c r="R51" s="40">
        <v>0</v>
      </c>
      <c r="S51" s="40">
        <v>5703741.5177999996</v>
      </c>
      <c r="T51" s="40">
        <v>0</v>
      </c>
      <c r="U51" s="40">
        <f t="shared" si="4"/>
        <v>5703741.5177999996</v>
      </c>
      <c r="V51" s="40">
        <v>65100307.229699999</v>
      </c>
      <c r="W51" s="45">
        <f t="shared" si="5"/>
        <v>260928766.00870001</v>
      </c>
    </row>
    <row r="52" spans="1:23" ht="24.9" customHeight="1">
      <c r="A52" s="151"/>
      <c r="B52" s="153"/>
      <c r="C52" s="36">
        <v>6</v>
      </c>
      <c r="D52" s="40" t="s">
        <v>217</v>
      </c>
      <c r="E52" s="40">
        <v>158658599.748</v>
      </c>
      <c r="F52" s="40">
        <v>0</v>
      </c>
      <c r="G52" s="40">
        <v>4759757.9923999999</v>
      </c>
      <c r="H52" s="40">
        <f t="shared" si="9"/>
        <v>2379878.9961999999</v>
      </c>
      <c r="I52" s="40">
        <f t="shared" si="10"/>
        <v>2379878.9961999999</v>
      </c>
      <c r="J52" s="40">
        <v>58688590.4036</v>
      </c>
      <c r="K52" s="45">
        <f t="shared" si="3"/>
        <v>219727069.1478</v>
      </c>
      <c r="L52" s="44"/>
      <c r="M52" s="153"/>
      <c r="N52" s="46">
        <v>26</v>
      </c>
      <c r="O52" s="153"/>
      <c r="P52" s="40" t="s">
        <v>218</v>
      </c>
      <c r="Q52" s="40">
        <v>180346957.46520001</v>
      </c>
      <c r="R52" s="40">
        <v>0</v>
      </c>
      <c r="S52" s="40">
        <v>5410408.7240000004</v>
      </c>
      <c r="T52" s="40">
        <v>0</v>
      </c>
      <c r="U52" s="40">
        <f t="shared" si="4"/>
        <v>5410408.7240000004</v>
      </c>
      <c r="V52" s="40">
        <v>64309020.271899998</v>
      </c>
      <c r="W52" s="45">
        <f t="shared" si="5"/>
        <v>250066386.46110001</v>
      </c>
    </row>
    <row r="53" spans="1:23" ht="24.9" customHeight="1">
      <c r="A53" s="151"/>
      <c r="B53" s="153"/>
      <c r="C53" s="36">
        <v>7</v>
      </c>
      <c r="D53" s="40" t="s">
        <v>219</v>
      </c>
      <c r="E53" s="40">
        <v>179946484.88280001</v>
      </c>
      <c r="F53" s="40">
        <v>0</v>
      </c>
      <c r="G53" s="40">
        <v>5398394.5465000002</v>
      </c>
      <c r="H53" s="40">
        <f t="shared" si="9"/>
        <v>2699197.2732500001</v>
      </c>
      <c r="I53" s="40">
        <f t="shared" si="10"/>
        <v>2699197.2732500001</v>
      </c>
      <c r="J53" s="40">
        <v>67176385.641800001</v>
      </c>
      <c r="K53" s="45">
        <f t="shared" si="3"/>
        <v>249822067.79785001</v>
      </c>
      <c r="L53" s="44"/>
      <c r="M53" s="153"/>
      <c r="N53" s="46">
        <v>27</v>
      </c>
      <c r="O53" s="153"/>
      <c r="P53" s="40" t="s">
        <v>220</v>
      </c>
      <c r="Q53" s="40">
        <v>184134653.52880001</v>
      </c>
      <c r="R53" s="40">
        <v>0</v>
      </c>
      <c r="S53" s="40">
        <v>5524039.6058999998</v>
      </c>
      <c r="T53" s="40">
        <v>0</v>
      </c>
      <c r="U53" s="40">
        <f t="shared" si="4"/>
        <v>5524039.6058999998</v>
      </c>
      <c r="V53" s="40">
        <v>63799747.241599999</v>
      </c>
      <c r="W53" s="45">
        <f t="shared" si="5"/>
        <v>253458440.37630001</v>
      </c>
    </row>
    <row r="54" spans="1:23" ht="24.9" customHeight="1">
      <c r="A54" s="151"/>
      <c r="B54" s="153"/>
      <c r="C54" s="36">
        <v>8</v>
      </c>
      <c r="D54" s="40" t="s">
        <v>221</v>
      </c>
      <c r="E54" s="40">
        <v>144181951.55669999</v>
      </c>
      <c r="F54" s="40">
        <v>0</v>
      </c>
      <c r="G54" s="40">
        <v>4325458.5466999998</v>
      </c>
      <c r="H54" s="40">
        <f t="shared" si="9"/>
        <v>2162729.2733499999</v>
      </c>
      <c r="I54" s="40">
        <f t="shared" si="10"/>
        <v>2162729.2733499999</v>
      </c>
      <c r="J54" s="40">
        <v>54696538.398400001</v>
      </c>
      <c r="K54" s="45">
        <f t="shared" si="3"/>
        <v>201041219.22845</v>
      </c>
      <c r="L54" s="44"/>
      <c r="M54" s="153"/>
      <c r="N54" s="46">
        <v>28</v>
      </c>
      <c r="O54" s="153"/>
      <c r="P54" s="40" t="s">
        <v>222</v>
      </c>
      <c r="Q54" s="40">
        <v>155099303.59369999</v>
      </c>
      <c r="R54" s="40">
        <v>0</v>
      </c>
      <c r="S54" s="40">
        <v>4652979.1078000003</v>
      </c>
      <c r="T54" s="40">
        <v>0</v>
      </c>
      <c r="U54" s="40">
        <f t="shared" si="4"/>
        <v>4652979.1078000003</v>
      </c>
      <c r="V54" s="40">
        <v>56116927.667400002</v>
      </c>
      <c r="W54" s="45">
        <f t="shared" si="5"/>
        <v>215869210.3689</v>
      </c>
    </row>
    <row r="55" spans="1:23" ht="24.9" customHeight="1">
      <c r="A55" s="151"/>
      <c r="B55" s="153"/>
      <c r="C55" s="36">
        <v>9</v>
      </c>
      <c r="D55" s="40" t="s">
        <v>223</v>
      </c>
      <c r="E55" s="40">
        <v>167328143.58320001</v>
      </c>
      <c r="F55" s="40">
        <v>0</v>
      </c>
      <c r="G55" s="40">
        <v>5019844.3075000001</v>
      </c>
      <c r="H55" s="40">
        <f t="shared" si="9"/>
        <v>2509922.1537500001</v>
      </c>
      <c r="I55" s="40">
        <f t="shared" si="10"/>
        <v>2509922.1537500001</v>
      </c>
      <c r="J55" s="40">
        <v>62899263.007700004</v>
      </c>
      <c r="K55" s="45">
        <f t="shared" si="3"/>
        <v>232737328.74465001</v>
      </c>
      <c r="L55" s="44"/>
      <c r="M55" s="153"/>
      <c r="N55" s="46">
        <v>29</v>
      </c>
      <c r="O55" s="153"/>
      <c r="P55" s="40" t="s">
        <v>224</v>
      </c>
      <c r="Q55" s="40">
        <v>185586129.49169999</v>
      </c>
      <c r="R55" s="40">
        <v>0</v>
      </c>
      <c r="S55" s="40">
        <v>5567583.8848000001</v>
      </c>
      <c r="T55" s="40">
        <v>0</v>
      </c>
      <c r="U55" s="40">
        <f t="shared" si="4"/>
        <v>5567583.8848000001</v>
      </c>
      <c r="V55" s="40">
        <v>63611029.156199999</v>
      </c>
      <c r="W55" s="45">
        <f t="shared" si="5"/>
        <v>254764742.53269997</v>
      </c>
    </row>
    <row r="56" spans="1:23" ht="24.9" customHeight="1">
      <c r="A56" s="151"/>
      <c r="B56" s="153"/>
      <c r="C56" s="36">
        <v>10</v>
      </c>
      <c r="D56" s="40" t="s">
        <v>225</v>
      </c>
      <c r="E56" s="40">
        <v>182045273.78569999</v>
      </c>
      <c r="F56" s="40">
        <v>0</v>
      </c>
      <c r="G56" s="40">
        <v>5461358.2136000004</v>
      </c>
      <c r="H56" s="40">
        <f t="shared" si="9"/>
        <v>2730679.1068000002</v>
      </c>
      <c r="I56" s="40">
        <f t="shared" si="10"/>
        <v>2730679.1068000002</v>
      </c>
      <c r="J56" s="40">
        <v>69881699.265100002</v>
      </c>
      <c r="K56" s="45">
        <f t="shared" si="3"/>
        <v>254657652.15760002</v>
      </c>
      <c r="L56" s="44"/>
      <c r="M56" s="153"/>
      <c r="N56" s="46">
        <v>30</v>
      </c>
      <c r="O56" s="153"/>
      <c r="P56" s="40" t="s">
        <v>226</v>
      </c>
      <c r="Q56" s="40">
        <v>167409859.07210001</v>
      </c>
      <c r="R56" s="40">
        <v>0</v>
      </c>
      <c r="S56" s="40">
        <v>5022295.7721999995</v>
      </c>
      <c r="T56" s="40">
        <v>0</v>
      </c>
      <c r="U56" s="40">
        <f t="shared" si="4"/>
        <v>5022295.7721999995</v>
      </c>
      <c r="V56" s="40">
        <v>61222815.076300003</v>
      </c>
      <c r="W56" s="45">
        <f t="shared" si="5"/>
        <v>233654969.9206</v>
      </c>
    </row>
    <row r="57" spans="1:23" ht="24.9" customHeight="1">
      <c r="A57" s="151"/>
      <c r="B57" s="153"/>
      <c r="C57" s="36">
        <v>11</v>
      </c>
      <c r="D57" s="40" t="s">
        <v>227</v>
      </c>
      <c r="E57" s="40">
        <v>140107083.662</v>
      </c>
      <c r="F57" s="40">
        <v>0</v>
      </c>
      <c r="G57" s="40">
        <v>4203212.5098999999</v>
      </c>
      <c r="H57" s="40">
        <f t="shared" si="9"/>
        <v>2101606.25495</v>
      </c>
      <c r="I57" s="40">
        <f t="shared" si="10"/>
        <v>2101606.25495</v>
      </c>
      <c r="J57" s="40">
        <v>54372129.3517</v>
      </c>
      <c r="K57" s="45">
        <f t="shared" si="3"/>
        <v>196580819.26865003</v>
      </c>
      <c r="L57" s="44"/>
      <c r="M57" s="153"/>
      <c r="N57" s="46">
        <v>31</v>
      </c>
      <c r="O57" s="153"/>
      <c r="P57" s="40" t="s">
        <v>228</v>
      </c>
      <c r="Q57" s="40">
        <v>173451289.35249999</v>
      </c>
      <c r="R57" s="40">
        <v>0</v>
      </c>
      <c r="S57" s="40">
        <v>5203538.6805999996</v>
      </c>
      <c r="T57" s="40">
        <v>0</v>
      </c>
      <c r="U57" s="40">
        <f t="shared" si="4"/>
        <v>5203538.6805999996</v>
      </c>
      <c r="V57" s="40">
        <v>58871281.412900001</v>
      </c>
      <c r="W57" s="45">
        <f t="shared" si="5"/>
        <v>237526109.44599998</v>
      </c>
    </row>
    <row r="58" spans="1:23" ht="24.9" customHeight="1">
      <c r="A58" s="151"/>
      <c r="B58" s="153"/>
      <c r="C58" s="36">
        <v>12</v>
      </c>
      <c r="D58" s="40" t="s">
        <v>229</v>
      </c>
      <c r="E58" s="40">
        <v>165721503.63409999</v>
      </c>
      <c r="F58" s="40">
        <v>0</v>
      </c>
      <c r="G58" s="40">
        <v>4971645.1090000002</v>
      </c>
      <c r="H58" s="40">
        <f t="shared" si="9"/>
        <v>2485822.5545000001</v>
      </c>
      <c r="I58" s="40">
        <f t="shared" si="10"/>
        <v>2485822.5545000001</v>
      </c>
      <c r="J58" s="40">
        <v>62208581.395300001</v>
      </c>
      <c r="K58" s="45">
        <f t="shared" si="3"/>
        <v>230415907.58389997</v>
      </c>
      <c r="L58" s="44"/>
      <c r="M58" s="153"/>
      <c r="N58" s="46">
        <v>32</v>
      </c>
      <c r="O58" s="153"/>
      <c r="P58" s="40" t="s">
        <v>230</v>
      </c>
      <c r="Q58" s="40">
        <v>186109672.7859</v>
      </c>
      <c r="R58" s="40">
        <v>0</v>
      </c>
      <c r="S58" s="40">
        <v>5583290.1836000001</v>
      </c>
      <c r="T58" s="40">
        <v>0</v>
      </c>
      <c r="U58" s="40">
        <f t="shared" si="4"/>
        <v>5583290.1836000001</v>
      </c>
      <c r="V58" s="40">
        <v>65214468.381300002</v>
      </c>
      <c r="W58" s="45">
        <f t="shared" si="5"/>
        <v>256907431.35080001</v>
      </c>
    </row>
    <row r="59" spans="1:23" ht="24.9" customHeight="1">
      <c r="A59" s="151"/>
      <c r="B59" s="153"/>
      <c r="C59" s="36">
        <v>13</v>
      </c>
      <c r="D59" s="40" t="s">
        <v>231</v>
      </c>
      <c r="E59" s="40">
        <v>165768227.67109999</v>
      </c>
      <c r="F59" s="40">
        <v>0</v>
      </c>
      <c r="G59" s="40">
        <v>4973046.8300999999</v>
      </c>
      <c r="H59" s="40">
        <f t="shared" si="9"/>
        <v>2486523.41505</v>
      </c>
      <c r="I59" s="40">
        <f t="shared" si="10"/>
        <v>2486523.41505</v>
      </c>
      <c r="J59" s="40">
        <v>62224396.502499998</v>
      </c>
      <c r="K59" s="45">
        <f t="shared" si="3"/>
        <v>230479147.58864999</v>
      </c>
      <c r="L59" s="44"/>
      <c r="M59" s="153"/>
      <c r="N59" s="46">
        <v>33</v>
      </c>
      <c r="O59" s="153"/>
      <c r="P59" s="40" t="s">
        <v>232</v>
      </c>
      <c r="Q59" s="40">
        <v>180375331.37779999</v>
      </c>
      <c r="R59" s="40">
        <v>0</v>
      </c>
      <c r="S59" s="40">
        <v>5411259.9413000001</v>
      </c>
      <c r="T59" s="40">
        <v>0</v>
      </c>
      <c r="U59" s="40">
        <f t="shared" si="4"/>
        <v>5411259.9413000001</v>
      </c>
      <c r="V59" s="40">
        <v>59035678.787299998</v>
      </c>
      <c r="W59" s="45">
        <f t="shared" si="5"/>
        <v>244822270.10639998</v>
      </c>
    </row>
    <row r="60" spans="1:23" ht="24.9" customHeight="1">
      <c r="A60" s="151"/>
      <c r="B60" s="153"/>
      <c r="C60" s="36">
        <v>14</v>
      </c>
      <c r="D60" s="40" t="s">
        <v>233</v>
      </c>
      <c r="E60" s="40">
        <v>170965267.0318</v>
      </c>
      <c r="F60" s="40">
        <v>0</v>
      </c>
      <c r="G60" s="40">
        <v>5128958.0109999999</v>
      </c>
      <c r="H60" s="40">
        <f t="shared" si="9"/>
        <v>2564479.0055</v>
      </c>
      <c r="I60" s="40">
        <f t="shared" si="10"/>
        <v>2564479.0055</v>
      </c>
      <c r="J60" s="40">
        <v>63693473.766800001</v>
      </c>
      <c r="K60" s="45">
        <f t="shared" si="3"/>
        <v>237223219.80410004</v>
      </c>
      <c r="L60" s="44"/>
      <c r="M60" s="154"/>
      <c r="N60" s="46">
        <v>34</v>
      </c>
      <c r="O60" s="154"/>
      <c r="P60" s="40" t="s">
        <v>234</v>
      </c>
      <c r="Q60" s="40">
        <v>176782624.13820001</v>
      </c>
      <c r="R60" s="40">
        <v>0</v>
      </c>
      <c r="S60" s="40">
        <v>5303478.7241000002</v>
      </c>
      <c r="T60" s="40">
        <v>0</v>
      </c>
      <c r="U60" s="40">
        <f t="shared" si="4"/>
        <v>5303478.7241000002</v>
      </c>
      <c r="V60" s="40">
        <v>61355582.236299999</v>
      </c>
      <c r="W60" s="45">
        <f t="shared" si="5"/>
        <v>243441685.0986</v>
      </c>
    </row>
    <row r="61" spans="1:23" ht="24.9" customHeight="1">
      <c r="A61" s="151"/>
      <c r="B61" s="153"/>
      <c r="C61" s="36">
        <v>15</v>
      </c>
      <c r="D61" s="40" t="s">
        <v>235</v>
      </c>
      <c r="E61" s="40">
        <v>156193525.83829999</v>
      </c>
      <c r="F61" s="40">
        <v>0</v>
      </c>
      <c r="G61" s="40">
        <v>4685805.7752</v>
      </c>
      <c r="H61" s="40">
        <f t="shared" si="9"/>
        <v>2342902.8876</v>
      </c>
      <c r="I61" s="40">
        <f t="shared" si="10"/>
        <v>2342902.8876</v>
      </c>
      <c r="J61" s="40">
        <v>57861686.229699999</v>
      </c>
      <c r="K61" s="45">
        <f t="shared" si="3"/>
        <v>216398114.95559999</v>
      </c>
      <c r="L61" s="44"/>
      <c r="M61" s="36"/>
      <c r="N61" s="147" t="s">
        <v>236</v>
      </c>
      <c r="O61" s="148"/>
      <c r="P61" s="41"/>
      <c r="Q61" s="41">
        <f t="shared" ref="Q61:S61" si="11">SUM(Q27:Q60)</f>
        <v>6277549872.5243006</v>
      </c>
      <c r="R61" s="41">
        <f t="shared" si="11"/>
        <v>1E-4</v>
      </c>
      <c r="S61" s="41">
        <f t="shared" si="11"/>
        <v>188326496.17569998</v>
      </c>
      <c r="T61" s="41">
        <f t="shared" ref="T61:W61" si="12">SUM(T27:T60)</f>
        <v>0</v>
      </c>
      <c r="U61" s="41">
        <f t="shared" si="4"/>
        <v>188326496.17569998</v>
      </c>
      <c r="V61" s="41">
        <f t="shared" si="12"/>
        <v>2156701724.3657002</v>
      </c>
      <c r="W61" s="41">
        <f t="shared" si="12"/>
        <v>8622578093.0657997</v>
      </c>
    </row>
    <row r="62" spans="1:23" ht="24.9" customHeight="1">
      <c r="A62" s="151"/>
      <c r="B62" s="153"/>
      <c r="C62" s="36">
        <v>16</v>
      </c>
      <c r="D62" s="40" t="s">
        <v>237</v>
      </c>
      <c r="E62" s="40">
        <v>159481458.25400001</v>
      </c>
      <c r="F62" s="40">
        <v>0</v>
      </c>
      <c r="G62" s="40">
        <v>4784443.7476000004</v>
      </c>
      <c r="H62" s="40">
        <f t="shared" si="9"/>
        <v>2392221.8738000002</v>
      </c>
      <c r="I62" s="40">
        <f t="shared" si="10"/>
        <v>2392221.8738000002</v>
      </c>
      <c r="J62" s="40">
        <v>61561225.202600002</v>
      </c>
      <c r="K62" s="45">
        <f t="shared" si="3"/>
        <v>223434905.33039999</v>
      </c>
      <c r="L62" s="44"/>
      <c r="M62" s="152">
        <v>21</v>
      </c>
      <c r="N62" s="46">
        <v>1</v>
      </c>
      <c r="O62" s="152" t="s">
        <v>103</v>
      </c>
      <c r="P62" s="40" t="s">
        <v>238</v>
      </c>
      <c r="Q62" s="40">
        <v>141543455.20739999</v>
      </c>
      <c r="R62" s="40">
        <v>0</v>
      </c>
      <c r="S62" s="40">
        <v>4246303.6562000001</v>
      </c>
      <c r="T62" s="40">
        <f>S62/2</f>
        <v>2123151.8281</v>
      </c>
      <c r="U62" s="40">
        <f t="shared" si="4"/>
        <v>2123151.8281</v>
      </c>
      <c r="V62" s="40">
        <v>50668020.189199999</v>
      </c>
      <c r="W62" s="45">
        <f t="shared" si="5"/>
        <v>194334627.22469997</v>
      </c>
    </row>
    <row r="63" spans="1:23" ht="24.9" customHeight="1">
      <c r="A63" s="151"/>
      <c r="B63" s="153"/>
      <c r="C63" s="36">
        <v>17</v>
      </c>
      <c r="D63" s="40" t="s">
        <v>239</v>
      </c>
      <c r="E63" s="40">
        <v>148866461.27039999</v>
      </c>
      <c r="F63" s="40">
        <v>0</v>
      </c>
      <c r="G63" s="40">
        <v>4465993.8381000003</v>
      </c>
      <c r="H63" s="40">
        <f t="shared" si="9"/>
        <v>2232996.9190500001</v>
      </c>
      <c r="I63" s="40">
        <f t="shared" si="10"/>
        <v>2232996.9190500001</v>
      </c>
      <c r="J63" s="40">
        <v>58501732.919100001</v>
      </c>
      <c r="K63" s="45">
        <f t="shared" si="3"/>
        <v>209601191.10854995</v>
      </c>
      <c r="L63" s="44"/>
      <c r="M63" s="153"/>
      <c r="N63" s="46">
        <v>2</v>
      </c>
      <c r="O63" s="153"/>
      <c r="P63" s="40" t="s">
        <v>240</v>
      </c>
      <c r="Q63" s="40">
        <v>231276400.76499999</v>
      </c>
      <c r="R63" s="40">
        <v>0</v>
      </c>
      <c r="S63" s="40">
        <v>6938292.0229000002</v>
      </c>
      <c r="T63" s="40">
        <f t="shared" ref="T63:T121" si="13">S63/2</f>
        <v>3469146.0114500001</v>
      </c>
      <c r="U63" s="40">
        <f t="shared" ref="U63:U82" si="14">S63-T63</f>
        <v>3469146.0114500001</v>
      </c>
      <c r="V63" s="40">
        <v>66357802.584100001</v>
      </c>
      <c r="W63" s="45">
        <f t="shared" si="5"/>
        <v>301103349.36054999</v>
      </c>
    </row>
    <row r="64" spans="1:23" ht="24.9" customHeight="1">
      <c r="A64" s="151"/>
      <c r="B64" s="153"/>
      <c r="C64" s="36">
        <v>18</v>
      </c>
      <c r="D64" s="40" t="s">
        <v>241</v>
      </c>
      <c r="E64" s="40">
        <v>184952376.1045</v>
      </c>
      <c r="F64" s="40">
        <v>0</v>
      </c>
      <c r="G64" s="40">
        <v>5548571.2830999997</v>
      </c>
      <c r="H64" s="40">
        <f t="shared" si="9"/>
        <v>2774285.6415499998</v>
      </c>
      <c r="I64" s="40">
        <f t="shared" si="10"/>
        <v>2774285.6415499998</v>
      </c>
      <c r="J64" s="40">
        <v>68339526.967700005</v>
      </c>
      <c r="K64" s="45">
        <f t="shared" si="3"/>
        <v>256066188.71375</v>
      </c>
      <c r="L64" s="44"/>
      <c r="M64" s="153"/>
      <c r="N64" s="46">
        <v>3</v>
      </c>
      <c r="O64" s="153"/>
      <c r="P64" s="40" t="s">
        <v>242</v>
      </c>
      <c r="Q64" s="40">
        <v>194802205.34990001</v>
      </c>
      <c r="R64" s="40">
        <v>0</v>
      </c>
      <c r="S64" s="40">
        <v>5844066.1605000002</v>
      </c>
      <c r="T64" s="40">
        <f t="shared" si="13"/>
        <v>2922033.0802500001</v>
      </c>
      <c r="U64" s="40">
        <f t="shared" si="14"/>
        <v>2922033.0802500001</v>
      </c>
      <c r="V64" s="40">
        <v>67880039.872500002</v>
      </c>
      <c r="W64" s="45">
        <f t="shared" si="5"/>
        <v>265604278.30265</v>
      </c>
    </row>
    <row r="65" spans="1:23" ht="24.9" customHeight="1">
      <c r="A65" s="151"/>
      <c r="B65" s="153"/>
      <c r="C65" s="36">
        <v>19</v>
      </c>
      <c r="D65" s="40" t="s">
        <v>243</v>
      </c>
      <c r="E65" s="40">
        <v>154329064.04100001</v>
      </c>
      <c r="F65" s="40">
        <v>0</v>
      </c>
      <c r="G65" s="40">
        <v>4629871.9211999997</v>
      </c>
      <c r="H65" s="40">
        <f t="shared" si="9"/>
        <v>2314935.9605999999</v>
      </c>
      <c r="I65" s="40">
        <f t="shared" si="10"/>
        <v>2314935.9605999999</v>
      </c>
      <c r="J65" s="40">
        <v>59112940.295500003</v>
      </c>
      <c r="K65" s="45">
        <f t="shared" si="3"/>
        <v>215756940.29710004</v>
      </c>
      <c r="L65" s="44"/>
      <c r="M65" s="153"/>
      <c r="N65" s="46">
        <v>4</v>
      </c>
      <c r="O65" s="153"/>
      <c r="P65" s="40" t="s">
        <v>244</v>
      </c>
      <c r="Q65" s="40">
        <v>160842026.47679999</v>
      </c>
      <c r="R65" s="40">
        <v>0</v>
      </c>
      <c r="S65" s="40">
        <v>4825260.7943000002</v>
      </c>
      <c r="T65" s="40">
        <f t="shared" si="13"/>
        <v>2412630.3971500001</v>
      </c>
      <c r="U65" s="40">
        <f t="shared" si="14"/>
        <v>2412630.3971500001</v>
      </c>
      <c r="V65" s="40">
        <v>57487653.873000003</v>
      </c>
      <c r="W65" s="45">
        <f t="shared" si="5"/>
        <v>220742310.74694997</v>
      </c>
    </row>
    <row r="66" spans="1:23" ht="24.9" customHeight="1">
      <c r="A66" s="151"/>
      <c r="B66" s="153"/>
      <c r="C66" s="36">
        <v>20</v>
      </c>
      <c r="D66" s="40" t="s">
        <v>245</v>
      </c>
      <c r="E66" s="40">
        <v>162379907.0478</v>
      </c>
      <c r="F66" s="40">
        <v>0</v>
      </c>
      <c r="G66" s="40">
        <v>4871397.2114000004</v>
      </c>
      <c r="H66" s="40">
        <f t="shared" si="9"/>
        <v>2435698.6057000002</v>
      </c>
      <c r="I66" s="40">
        <f t="shared" si="10"/>
        <v>2435698.6057000002</v>
      </c>
      <c r="J66" s="40">
        <v>61720439.474600002</v>
      </c>
      <c r="K66" s="45">
        <f t="shared" si="3"/>
        <v>226536045.12810004</v>
      </c>
      <c r="L66" s="44"/>
      <c r="M66" s="153"/>
      <c r="N66" s="46">
        <v>5</v>
      </c>
      <c r="O66" s="153"/>
      <c r="P66" s="40" t="s">
        <v>246</v>
      </c>
      <c r="Q66" s="40">
        <v>214210225.57339999</v>
      </c>
      <c r="R66" s="40">
        <v>0</v>
      </c>
      <c r="S66" s="40">
        <v>6426306.7671999997</v>
      </c>
      <c r="T66" s="40">
        <f t="shared" si="13"/>
        <v>3213153.3835999998</v>
      </c>
      <c r="U66" s="40">
        <f t="shared" si="14"/>
        <v>3213153.3835999998</v>
      </c>
      <c r="V66" s="40">
        <v>73506098.116600007</v>
      </c>
      <c r="W66" s="45">
        <f t="shared" si="5"/>
        <v>290929477.07359999</v>
      </c>
    </row>
    <row r="67" spans="1:23" ht="24.9" customHeight="1">
      <c r="A67" s="151"/>
      <c r="B67" s="153"/>
      <c r="C67" s="36">
        <v>21</v>
      </c>
      <c r="D67" s="40" t="s">
        <v>247</v>
      </c>
      <c r="E67" s="40">
        <v>168898688.02239999</v>
      </c>
      <c r="F67" s="40">
        <v>0</v>
      </c>
      <c r="G67" s="40">
        <v>5066960.6407000003</v>
      </c>
      <c r="H67" s="40">
        <f t="shared" si="9"/>
        <v>2533480.3203500002</v>
      </c>
      <c r="I67" s="40">
        <f t="shared" si="10"/>
        <v>2533480.3203500002</v>
      </c>
      <c r="J67" s="40">
        <v>64385085.679499999</v>
      </c>
      <c r="K67" s="45">
        <f t="shared" si="3"/>
        <v>235817254.02225</v>
      </c>
      <c r="L67" s="44"/>
      <c r="M67" s="153"/>
      <c r="N67" s="46">
        <v>6</v>
      </c>
      <c r="O67" s="153"/>
      <c r="P67" s="40" t="s">
        <v>248</v>
      </c>
      <c r="Q67" s="40">
        <v>262073252.87540001</v>
      </c>
      <c r="R67" s="40">
        <v>0</v>
      </c>
      <c r="S67" s="40">
        <v>7862197.5862999996</v>
      </c>
      <c r="T67" s="40">
        <f t="shared" si="13"/>
        <v>3931098.7931499998</v>
      </c>
      <c r="U67" s="40">
        <f t="shared" si="14"/>
        <v>3931098.7931499998</v>
      </c>
      <c r="V67" s="40">
        <v>77573238.655699998</v>
      </c>
      <c r="W67" s="45">
        <f t="shared" si="5"/>
        <v>343577590.32424998</v>
      </c>
    </row>
    <row r="68" spans="1:23" ht="24.9" customHeight="1">
      <c r="A68" s="151"/>
      <c r="B68" s="153"/>
      <c r="C68" s="36">
        <v>22</v>
      </c>
      <c r="D68" s="40" t="s">
        <v>249</v>
      </c>
      <c r="E68" s="40">
        <v>145172842.96430001</v>
      </c>
      <c r="F68" s="40">
        <v>0</v>
      </c>
      <c r="G68" s="40">
        <v>4355185.2889</v>
      </c>
      <c r="H68" s="40">
        <f t="shared" si="9"/>
        <v>2177592.64445</v>
      </c>
      <c r="I68" s="40">
        <f t="shared" si="10"/>
        <v>2177592.64445</v>
      </c>
      <c r="J68" s="40">
        <v>58507713.421800002</v>
      </c>
      <c r="K68" s="45">
        <f t="shared" si="3"/>
        <v>205858149.03055</v>
      </c>
      <c r="L68" s="44"/>
      <c r="M68" s="153"/>
      <c r="N68" s="46">
        <v>7</v>
      </c>
      <c r="O68" s="153"/>
      <c r="P68" s="40" t="s">
        <v>250</v>
      </c>
      <c r="Q68" s="40">
        <v>178543254.79699999</v>
      </c>
      <c r="R68" s="40">
        <v>0</v>
      </c>
      <c r="S68" s="40">
        <v>5356297.6438999996</v>
      </c>
      <c r="T68" s="40">
        <f t="shared" si="13"/>
        <v>2678148.8219499998</v>
      </c>
      <c r="U68" s="40">
        <f t="shared" si="14"/>
        <v>2678148.8219499998</v>
      </c>
      <c r="V68" s="40">
        <v>58042378.723899998</v>
      </c>
      <c r="W68" s="45">
        <f t="shared" si="5"/>
        <v>239263782.34285</v>
      </c>
    </row>
    <row r="69" spans="1:23" ht="24.9" customHeight="1">
      <c r="A69" s="151"/>
      <c r="B69" s="153"/>
      <c r="C69" s="36">
        <v>23</v>
      </c>
      <c r="D69" s="40" t="s">
        <v>251</v>
      </c>
      <c r="E69" s="40">
        <v>151588688.87220001</v>
      </c>
      <c r="F69" s="40">
        <v>0</v>
      </c>
      <c r="G69" s="40">
        <v>4547660.6661999999</v>
      </c>
      <c r="H69" s="40">
        <f t="shared" si="9"/>
        <v>2273830.3330999999</v>
      </c>
      <c r="I69" s="40">
        <f t="shared" si="10"/>
        <v>2273830.3330999999</v>
      </c>
      <c r="J69" s="40">
        <v>61074810.982600003</v>
      </c>
      <c r="K69" s="45">
        <f t="shared" si="3"/>
        <v>214937330.18790004</v>
      </c>
      <c r="L69" s="44"/>
      <c r="M69" s="153"/>
      <c r="N69" s="46">
        <v>8</v>
      </c>
      <c r="O69" s="153"/>
      <c r="P69" s="40" t="s">
        <v>252</v>
      </c>
      <c r="Q69" s="40">
        <v>189676277.6469</v>
      </c>
      <c r="R69" s="40">
        <v>0</v>
      </c>
      <c r="S69" s="40">
        <v>5690288.3294000002</v>
      </c>
      <c r="T69" s="40">
        <f t="shared" si="13"/>
        <v>2845144.1647000001</v>
      </c>
      <c r="U69" s="40">
        <f t="shared" si="14"/>
        <v>2845144.1647000001</v>
      </c>
      <c r="V69" s="40">
        <v>61074094.8948</v>
      </c>
      <c r="W69" s="45">
        <f t="shared" si="5"/>
        <v>253595516.70640001</v>
      </c>
    </row>
    <row r="70" spans="1:23" ht="24.9" customHeight="1">
      <c r="A70" s="151"/>
      <c r="B70" s="153"/>
      <c r="C70" s="36">
        <v>24</v>
      </c>
      <c r="D70" s="40" t="s">
        <v>253</v>
      </c>
      <c r="E70" s="40">
        <v>155269451.0228</v>
      </c>
      <c r="F70" s="40">
        <v>0</v>
      </c>
      <c r="G70" s="40">
        <v>4658083.5307</v>
      </c>
      <c r="H70" s="40">
        <f t="shared" si="9"/>
        <v>2329041.76535</v>
      </c>
      <c r="I70" s="40">
        <f t="shared" si="10"/>
        <v>2329041.76535</v>
      </c>
      <c r="J70" s="40">
        <v>56302104.024400003</v>
      </c>
      <c r="K70" s="45">
        <f t="shared" si="3"/>
        <v>213900596.81254998</v>
      </c>
      <c r="L70" s="44"/>
      <c r="M70" s="153"/>
      <c r="N70" s="46">
        <v>9</v>
      </c>
      <c r="O70" s="153"/>
      <c r="P70" s="40" t="s">
        <v>254</v>
      </c>
      <c r="Q70" s="40">
        <v>235637477.26100001</v>
      </c>
      <c r="R70" s="40">
        <v>0</v>
      </c>
      <c r="S70" s="40">
        <v>7069124.3178000003</v>
      </c>
      <c r="T70" s="40">
        <f t="shared" si="13"/>
        <v>3534562.1589000002</v>
      </c>
      <c r="U70" s="40">
        <f t="shared" si="14"/>
        <v>3534562.1589000002</v>
      </c>
      <c r="V70" s="40">
        <v>77145699.162400007</v>
      </c>
      <c r="W70" s="45">
        <f t="shared" si="5"/>
        <v>316317738.58230007</v>
      </c>
    </row>
    <row r="71" spans="1:23" ht="24.9" customHeight="1">
      <c r="A71" s="151"/>
      <c r="B71" s="153"/>
      <c r="C71" s="36">
        <v>25</v>
      </c>
      <c r="D71" s="40" t="s">
        <v>255</v>
      </c>
      <c r="E71" s="40">
        <v>182941809.54789999</v>
      </c>
      <c r="F71" s="40">
        <v>0</v>
      </c>
      <c r="G71" s="40">
        <v>5488254.2863999996</v>
      </c>
      <c r="H71" s="40">
        <f t="shared" si="9"/>
        <v>2744127.1431999998</v>
      </c>
      <c r="I71" s="40">
        <f t="shared" si="10"/>
        <v>2744127.1431999998</v>
      </c>
      <c r="J71" s="40">
        <v>67624258.844300002</v>
      </c>
      <c r="K71" s="45">
        <f t="shared" si="3"/>
        <v>253310195.53539997</v>
      </c>
      <c r="L71" s="44"/>
      <c r="M71" s="153"/>
      <c r="N71" s="46">
        <v>10</v>
      </c>
      <c r="O71" s="153"/>
      <c r="P71" s="40" t="s">
        <v>256</v>
      </c>
      <c r="Q71" s="40">
        <v>164076110.25549999</v>
      </c>
      <c r="R71" s="40">
        <v>0</v>
      </c>
      <c r="S71" s="40">
        <v>4922283.3076999998</v>
      </c>
      <c r="T71" s="40">
        <f t="shared" si="13"/>
        <v>2461141.6538499999</v>
      </c>
      <c r="U71" s="40">
        <f t="shared" si="14"/>
        <v>2461141.6538499999</v>
      </c>
      <c r="V71" s="40">
        <v>58009286.608900003</v>
      </c>
      <c r="W71" s="45">
        <f t="shared" si="5"/>
        <v>224546538.51825002</v>
      </c>
    </row>
    <row r="72" spans="1:23" ht="24.9" customHeight="1">
      <c r="A72" s="151"/>
      <c r="B72" s="153"/>
      <c r="C72" s="36">
        <v>26</v>
      </c>
      <c r="D72" s="40" t="s">
        <v>257</v>
      </c>
      <c r="E72" s="40">
        <v>136274581.15220001</v>
      </c>
      <c r="F72" s="40">
        <v>0</v>
      </c>
      <c r="G72" s="40">
        <v>4088237.4345999998</v>
      </c>
      <c r="H72" s="40">
        <f t="shared" si="9"/>
        <v>2044118.7172999999</v>
      </c>
      <c r="I72" s="40">
        <f t="shared" si="10"/>
        <v>2044118.7172999999</v>
      </c>
      <c r="J72" s="40">
        <v>51759181.270099998</v>
      </c>
      <c r="K72" s="45">
        <f t="shared" ref="K72:K135" si="15">E72+F72+G72-H72+J72</f>
        <v>190077881.13960001</v>
      </c>
      <c r="L72" s="44"/>
      <c r="M72" s="153"/>
      <c r="N72" s="46">
        <v>11</v>
      </c>
      <c r="O72" s="153"/>
      <c r="P72" s="40" t="s">
        <v>258</v>
      </c>
      <c r="Q72" s="40">
        <v>173307193.82659999</v>
      </c>
      <c r="R72" s="40">
        <v>0</v>
      </c>
      <c r="S72" s="40">
        <v>5199215.8147999998</v>
      </c>
      <c r="T72" s="40">
        <f t="shared" si="13"/>
        <v>2599607.9073999999</v>
      </c>
      <c r="U72" s="40">
        <f t="shared" si="14"/>
        <v>2599607.9073999999</v>
      </c>
      <c r="V72" s="40">
        <v>61970638.700199999</v>
      </c>
      <c r="W72" s="45">
        <f t="shared" ref="W72:W135" si="16">Q72+R72+S72-T72+V72</f>
        <v>237877440.43419996</v>
      </c>
    </row>
    <row r="73" spans="1:23" ht="24.9" customHeight="1">
      <c r="A73" s="151"/>
      <c r="B73" s="153"/>
      <c r="C73" s="36">
        <v>27</v>
      </c>
      <c r="D73" s="40" t="s">
        <v>259</v>
      </c>
      <c r="E73" s="40">
        <v>167210023.9409</v>
      </c>
      <c r="F73" s="40">
        <v>0</v>
      </c>
      <c r="G73" s="40">
        <v>5016300.7182</v>
      </c>
      <c r="H73" s="40">
        <f t="shared" si="9"/>
        <v>2508150.3591</v>
      </c>
      <c r="I73" s="40">
        <f t="shared" si="10"/>
        <v>2508150.3591</v>
      </c>
      <c r="J73" s="40">
        <v>61561225.202600002</v>
      </c>
      <c r="K73" s="45">
        <f t="shared" si="15"/>
        <v>231279399.50259998</v>
      </c>
      <c r="L73" s="44"/>
      <c r="M73" s="153"/>
      <c r="N73" s="46">
        <v>12</v>
      </c>
      <c r="O73" s="153"/>
      <c r="P73" s="40" t="s">
        <v>260</v>
      </c>
      <c r="Q73" s="40">
        <v>191195505.4314</v>
      </c>
      <c r="R73" s="40">
        <v>0</v>
      </c>
      <c r="S73" s="40">
        <v>5735865.1628999999</v>
      </c>
      <c r="T73" s="40">
        <f t="shared" si="13"/>
        <v>2867932.5814499999</v>
      </c>
      <c r="U73" s="40">
        <f t="shared" si="14"/>
        <v>2867932.5814499999</v>
      </c>
      <c r="V73" s="40">
        <v>67596696.944299996</v>
      </c>
      <c r="W73" s="45">
        <f t="shared" si="16"/>
        <v>261660134.95715001</v>
      </c>
    </row>
    <row r="74" spans="1:23" ht="24.9" customHeight="1">
      <c r="A74" s="151"/>
      <c r="B74" s="153"/>
      <c r="C74" s="36">
        <v>28</v>
      </c>
      <c r="D74" s="40" t="s">
        <v>261</v>
      </c>
      <c r="E74" s="40">
        <v>136323110.19670001</v>
      </c>
      <c r="F74" s="40">
        <v>0</v>
      </c>
      <c r="G74" s="40">
        <v>4089693.3059</v>
      </c>
      <c r="H74" s="40">
        <f t="shared" si="9"/>
        <v>2044846.65295</v>
      </c>
      <c r="I74" s="40">
        <f t="shared" si="10"/>
        <v>2044846.65295</v>
      </c>
      <c r="J74" s="40">
        <v>53144398.596500002</v>
      </c>
      <c r="K74" s="45">
        <f t="shared" si="15"/>
        <v>191512355.44615003</v>
      </c>
      <c r="L74" s="44"/>
      <c r="M74" s="153"/>
      <c r="N74" s="46">
        <v>13</v>
      </c>
      <c r="O74" s="153"/>
      <c r="P74" s="40" t="s">
        <v>262</v>
      </c>
      <c r="Q74" s="40">
        <v>159116423.70809999</v>
      </c>
      <c r="R74" s="40">
        <v>0</v>
      </c>
      <c r="S74" s="40">
        <v>4773492.7111999998</v>
      </c>
      <c r="T74" s="40">
        <f t="shared" si="13"/>
        <v>2386746.3555999999</v>
      </c>
      <c r="U74" s="40">
        <f t="shared" si="14"/>
        <v>2386746.3555999999</v>
      </c>
      <c r="V74" s="40">
        <v>53250268.356899999</v>
      </c>
      <c r="W74" s="45">
        <f t="shared" si="16"/>
        <v>214753438.4206</v>
      </c>
    </row>
    <row r="75" spans="1:23" ht="24.9" customHeight="1">
      <c r="A75" s="151"/>
      <c r="B75" s="153"/>
      <c r="C75" s="36">
        <v>29</v>
      </c>
      <c r="D75" s="40" t="s">
        <v>263</v>
      </c>
      <c r="E75" s="40">
        <v>177787220.616</v>
      </c>
      <c r="F75" s="40">
        <v>0</v>
      </c>
      <c r="G75" s="40">
        <v>5333616.6184999999</v>
      </c>
      <c r="H75" s="40">
        <f t="shared" si="9"/>
        <v>2666808.3092499999</v>
      </c>
      <c r="I75" s="40">
        <f t="shared" si="10"/>
        <v>2666808.3092499999</v>
      </c>
      <c r="J75" s="40">
        <v>60400608.977799997</v>
      </c>
      <c r="K75" s="45">
        <f t="shared" si="15"/>
        <v>240854637.90305001</v>
      </c>
      <c r="L75" s="44"/>
      <c r="M75" s="153"/>
      <c r="N75" s="46">
        <v>14</v>
      </c>
      <c r="O75" s="153"/>
      <c r="P75" s="40" t="s">
        <v>264</v>
      </c>
      <c r="Q75" s="40">
        <v>182596494.94420001</v>
      </c>
      <c r="R75" s="40">
        <v>0</v>
      </c>
      <c r="S75" s="40">
        <v>5477894.8482999997</v>
      </c>
      <c r="T75" s="40">
        <f t="shared" si="13"/>
        <v>2738947.4241499999</v>
      </c>
      <c r="U75" s="40">
        <f t="shared" si="14"/>
        <v>2738947.4241499999</v>
      </c>
      <c r="V75" s="40">
        <v>62447218.315700002</v>
      </c>
      <c r="W75" s="45">
        <f t="shared" si="16"/>
        <v>247782660.68405002</v>
      </c>
    </row>
    <row r="76" spans="1:23" ht="24.9" customHeight="1">
      <c r="A76" s="151"/>
      <c r="B76" s="153"/>
      <c r="C76" s="36">
        <v>30</v>
      </c>
      <c r="D76" s="40" t="s">
        <v>265</v>
      </c>
      <c r="E76" s="40">
        <v>147110172.78639999</v>
      </c>
      <c r="F76" s="40">
        <v>0</v>
      </c>
      <c r="G76" s="40">
        <v>4413305.1836000001</v>
      </c>
      <c r="H76" s="40">
        <f t="shared" si="9"/>
        <v>2206652.5918000001</v>
      </c>
      <c r="I76" s="40">
        <f t="shared" si="10"/>
        <v>2206652.5918000001</v>
      </c>
      <c r="J76" s="40">
        <v>54135567.2447</v>
      </c>
      <c r="K76" s="45">
        <f t="shared" si="15"/>
        <v>203452392.62290001</v>
      </c>
      <c r="L76" s="44"/>
      <c r="M76" s="153"/>
      <c r="N76" s="46">
        <v>15</v>
      </c>
      <c r="O76" s="153"/>
      <c r="P76" s="40" t="s">
        <v>266</v>
      </c>
      <c r="Q76" s="40">
        <v>211246854.9675</v>
      </c>
      <c r="R76" s="40">
        <v>0</v>
      </c>
      <c r="S76" s="40">
        <v>6337405.6490000002</v>
      </c>
      <c r="T76" s="40">
        <f t="shared" si="13"/>
        <v>3168702.8245000001</v>
      </c>
      <c r="U76" s="40">
        <f t="shared" si="14"/>
        <v>3168702.8245000001</v>
      </c>
      <c r="V76" s="40">
        <v>65248884.482699998</v>
      </c>
      <c r="W76" s="45">
        <f t="shared" si="16"/>
        <v>279664442.27469999</v>
      </c>
    </row>
    <row r="77" spans="1:23" ht="24.9" customHeight="1">
      <c r="A77" s="151"/>
      <c r="B77" s="154"/>
      <c r="C77" s="36">
        <v>31</v>
      </c>
      <c r="D77" s="40" t="s">
        <v>267</v>
      </c>
      <c r="E77" s="40">
        <v>222364199.78940001</v>
      </c>
      <c r="F77" s="40">
        <v>0</v>
      </c>
      <c r="G77" s="40">
        <v>6670925.9937000005</v>
      </c>
      <c r="H77" s="40">
        <f t="shared" si="9"/>
        <v>3335462.9968500002</v>
      </c>
      <c r="I77" s="40">
        <f t="shared" si="10"/>
        <v>3335462.9968500002</v>
      </c>
      <c r="J77" s="40">
        <v>85820802.172800004</v>
      </c>
      <c r="K77" s="45">
        <f t="shared" si="15"/>
        <v>311520464.95905</v>
      </c>
      <c r="L77" s="44"/>
      <c r="M77" s="153"/>
      <c r="N77" s="46">
        <v>16</v>
      </c>
      <c r="O77" s="153"/>
      <c r="P77" s="40" t="s">
        <v>268</v>
      </c>
      <c r="Q77" s="40">
        <v>169249668.405</v>
      </c>
      <c r="R77" s="40">
        <v>0</v>
      </c>
      <c r="S77" s="40">
        <v>5077490.0521999998</v>
      </c>
      <c r="T77" s="40">
        <f t="shared" si="13"/>
        <v>2538745.0260999999</v>
      </c>
      <c r="U77" s="40">
        <f t="shared" si="14"/>
        <v>2538745.0260999999</v>
      </c>
      <c r="V77" s="40">
        <v>58481613.422499999</v>
      </c>
      <c r="W77" s="45">
        <f t="shared" si="16"/>
        <v>230270026.85359997</v>
      </c>
    </row>
    <row r="78" spans="1:23" ht="24.9" customHeight="1">
      <c r="A78" s="36"/>
      <c r="B78" s="146" t="s">
        <v>269</v>
      </c>
      <c r="C78" s="147"/>
      <c r="D78" s="41"/>
      <c r="E78" s="41">
        <f>SUM(E47:E77)</f>
        <v>5031270945.3664999</v>
      </c>
      <c r="F78" s="41">
        <f t="shared" ref="F78:K78" si="17">SUM(F47:F77)</f>
        <v>0</v>
      </c>
      <c r="G78" s="41">
        <f t="shared" si="17"/>
        <v>150938128.36109999</v>
      </c>
      <c r="H78" s="41">
        <f t="shared" si="17"/>
        <v>75469064.180549994</v>
      </c>
      <c r="I78" s="41">
        <f t="shared" si="17"/>
        <v>75469064.180549994</v>
      </c>
      <c r="J78" s="41">
        <f t="shared" si="17"/>
        <v>1906030366.7098999</v>
      </c>
      <c r="K78" s="41">
        <f t="shared" si="17"/>
        <v>7012770376.2569494</v>
      </c>
      <c r="L78" s="44"/>
      <c r="M78" s="153"/>
      <c r="N78" s="46">
        <v>17</v>
      </c>
      <c r="O78" s="153"/>
      <c r="P78" s="40" t="s">
        <v>270</v>
      </c>
      <c r="Q78" s="40">
        <v>166790270.26429999</v>
      </c>
      <c r="R78" s="40">
        <v>0</v>
      </c>
      <c r="S78" s="40">
        <v>5003708.1079000002</v>
      </c>
      <c r="T78" s="40">
        <f t="shared" si="13"/>
        <v>2501854.0539500001</v>
      </c>
      <c r="U78" s="40">
        <f t="shared" si="14"/>
        <v>2501854.0539500001</v>
      </c>
      <c r="V78" s="40">
        <v>53852837.229400001</v>
      </c>
      <c r="W78" s="45">
        <f t="shared" si="16"/>
        <v>223144961.54764998</v>
      </c>
    </row>
    <row r="79" spans="1:23" ht="24.9" customHeight="1">
      <c r="A79" s="151">
        <v>4</v>
      </c>
      <c r="B79" s="152" t="s">
        <v>271</v>
      </c>
      <c r="C79" s="36">
        <v>1</v>
      </c>
      <c r="D79" s="40" t="s">
        <v>272</v>
      </c>
      <c r="E79" s="40">
        <v>250110296.44190001</v>
      </c>
      <c r="F79" s="40">
        <v>0</v>
      </c>
      <c r="G79" s="40">
        <v>7503308.8932999996</v>
      </c>
      <c r="H79" s="40">
        <v>0</v>
      </c>
      <c r="I79" s="40">
        <f t="shared" si="10"/>
        <v>7503308.8932999996</v>
      </c>
      <c r="J79" s="40">
        <v>95021904.5053</v>
      </c>
      <c r="K79" s="45">
        <f t="shared" si="15"/>
        <v>352635509.8405</v>
      </c>
      <c r="L79" s="44"/>
      <c r="M79" s="153"/>
      <c r="N79" s="46">
        <v>18</v>
      </c>
      <c r="O79" s="153"/>
      <c r="P79" s="40" t="s">
        <v>273</v>
      </c>
      <c r="Q79" s="40">
        <v>173086485.76449999</v>
      </c>
      <c r="R79" s="40">
        <v>0</v>
      </c>
      <c r="S79" s="40">
        <v>5192594.5729</v>
      </c>
      <c r="T79" s="40">
        <f t="shared" si="13"/>
        <v>2596297.28645</v>
      </c>
      <c r="U79" s="40">
        <f t="shared" si="14"/>
        <v>2596297.28645</v>
      </c>
      <c r="V79" s="40">
        <v>58797915.565499999</v>
      </c>
      <c r="W79" s="45">
        <f t="shared" si="16"/>
        <v>234480698.61644998</v>
      </c>
    </row>
    <row r="80" spans="1:23" ht="24.9" customHeight="1">
      <c r="A80" s="151"/>
      <c r="B80" s="153"/>
      <c r="C80" s="36">
        <v>2</v>
      </c>
      <c r="D80" s="40" t="s">
        <v>274</v>
      </c>
      <c r="E80" s="40">
        <v>164486765.77020001</v>
      </c>
      <c r="F80" s="40">
        <v>0</v>
      </c>
      <c r="G80" s="40">
        <v>4934602.9731000001</v>
      </c>
      <c r="H80" s="40">
        <v>0</v>
      </c>
      <c r="I80" s="40">
        <f t="shared" si="10"/>
        <v>4934602.9731000001</v>
      </c>
      <c r="J80" s="40">
        <v>66203722.573700003</v>
      </c>
      <c r="K80" s="45">
        <f t="shared" si="15"/>
        <v>235625091.31700003</v>
      </c>
      <c r="L80" s="44"/>
      <c r="M80" s="153"/>
      <c r="N80" s="46">
        <v>19</v>
      </c>
      <c r="O80" s="153"/>
      <c r="P80" s="40" t="s">
        <v>275</v>
      </c>
      <c r="Q80" s="40">
        <v>209411492.46529999</v>
      </c>
      <c r="R80" s="40">
        <v>0</v>
      </c>
      <c r="S80" s="40">
        <v>6282344.7740000002</v>
      </c>
      <c r="T80" s="40">
        <f t="shared" si="13"/>
        <v>3141172.3870000001</v>
      </c>
      <c r="U80" s="40">
        <f t="shared" si="14"/>
        <v>3141172.3870000001</v>
      </c>
      <c r="V80" s="40">
        <v>61865780.5528</v>
      </c>
      <c r="W80" s="45">
        <f t="shared" si="16"/>
        <v>274418445.40509999</v>
      </c>
    </row>
    <row r="81" spans="1:23" ht="24.9" customHeight="1">
      <c r="A81" s="151"/>
      <c r="B81" s="153"/>
      <c r="C81" s="36">
        <v>3</v>
      </c>
      <c r="D81" s="40" t="s">
        <v>276</v>
      </c>
      <c r="E81" s="40">
        <v>169210366.4323</v>
      </c>
      <c r="F81" s="40">
        <v>0</v>
      </c>
      <c r="G81" s="40">
        <v>5076310.9929999998</v>
      </c>
      <c r="H81" s="40">
        <v>0</v>
      </c>
      <c r="I81" s="40">
        <f t="shared" si="10"/>
        <v>5076310.9929999998</v>
      </c>
      <c r="J81" s="40">
        <v>68075619.920200005</v>
      </c>
      <c r="K81" s="45">
        <f t="shared" si="15"/>
        <v>242362297.34549999</v>
      </c>
      <c r="L81" s="44"/>
      <c r="M81" s="153"/>
      <c r="N81" s="46">
        <v>20</v>
      </c>
      <c r="O81" s="153"/>
      <c r="P81" s="40" t="s">
        <v>277</v>
      </c>
      <c r="Q81" s="40">
        <v>160918254.47130001</v>
      </c>
      <c r="R81" s="40">
        <v>0</v>
      </c>
      <c r="S81" s="40">
        <v>4827547.6341000004</v>
      </c>
      <c r="T81" s="40">
        <f t="shared" si="13"/>
        <v>2413773.8170500002</v>
      </c>
      <c r="U81" s="40">
        <f t="shared" si="14"/>
        <v>2413773.8170500002</v>
      </c>
      <c r="V81" s="40">
        <v>55160573.820699997</v>
      </c>
      <c r="W81" s="45">
        <f t="shared" si="16"/>
        <v>218492602.10904998</v>
      </c>
    </row>
    <row r="82" spans="1:23" ht="24.9" customHeight="1">
      <c r="A82" s="151"/>
      <c r="B82" s="153"/>
      <c r="C82" s="36">
        <v>4</v>
      </c>
      <c r="D82" s="40" t="s">
        <v>278</v>
      </c>
      <c r="E82" s="40">
        <v>204523738.52079999</v>
      </c>
      <c r="F82" s="40">
        <v>0</v>
      </c>
      <c r="G82" s="40">
        <v>6135712.1556000002</v>
      </c>
      <c r="H82" s="40">
        <v>0</v>
      </c>
      <c r="I82" s="40">
        <f t="shared" si="10"/>
        <v>6135712.1556000002</v>
      </c>
      <c r="J82" s="40">
        <v>83702806.386800006</v>
      </c>
      <c r="K82" s="45">
        <f t="shared" si="15"/>
        <v>294362257.0632</v>
      </c>
      <c r="L82" s="44"/>
      <c r="M82" s="154"/>
      <c r="N82" s="46">
        <v>21</v>
      </c>
      <c r="O82" s="154"/>
      <c r="P82" s="40" t="s">
        <v>279</v>
      </c>
      <c r="Q82" s="40">
        <v>192208465.88600001</v>
      </c>
      <c r="R82" s="40">
        <v>0</v>
      </c>
      <c r="S82" s="40">
        <v>5766253.9765999997</v>
      </c>
      <c r="T82" s="40">
        <f t="shared" si="13"/>
        <v>2883126.9882999999</v>
      </c>
      <c r="U82" s="40">
        <f t="shared" si="14"/>
        <v>2883126.9882999999</v>
      </c>
      <c r="V82" s="40">
        <v>63901410.7733</v>
      </c>
      <c r="W82" s="45">
        <f t="shared" si="16"/>
        <v>258993003.6476</v>
      </c>
    </row>
    <row r="83" spans="1:23" ht="24.9" customHeight="1">
      <c r="A83" s="151"/>
      <c r="B83" s="153"/>
      <c r="C83" s="36">
        <v>5</v>
      </c>
      <c r="D83" s="40" t="s">
        <v>280</v>
      </c>
      <c r="E83" s="40">
        <v>155329125.50569999</v>
      </c>
      <c r="F83" s="40">
        <v>0</v>
      </c>
      <c r="G83" s="40">
        <v>4659873.7652000003</v>
      </c>
      <c r="H83" s="40">
        <v>0</v>
      </c>
      <c r="I83" s="40">
        <f t="shared" si="10"/>
        <v>4659873.7652000003</v>
      </c>
      <c r="J83" s="40">
        <v>60791633.426299997</v>
      </c>
      <c r="K83" s="45">
        <f t="shared" si="15"/>
        <v>220780632.69719997</v>
      </c>
      <c r="L83" s="44"/>
      <c r="M83" s="36"/>
      <c r="N83" s="147" t="s">
        <v>281</v>
      </c>
      <c r="O83" s="150"/>
      <c r="P83" s="41"/>
      <c r="Q83" s="41">
        <f>SUM(Q62:Q82)</f>
        <v>3961807796.3425007</v>
      </c>
      <c r="R83" s="40">
        <v>0</v>
      </c>
      <c r="S83" s="41">
        <f t="shared" ref="S83:W83" si="18">SUM(S62:S82)</f>
        <v>118854233.89010002</v>
      </c>
      <c r="T83" s="41">
        <f t="shared" si="18"/>
        <v>59427116.945050009</v>
      </c>
      <c r="U83" s="41">
        <f t="shared" si="18"/>
        <v>59427116.945050009</v>
      </c>
      <c r="V83" s="41">
        <f t="shared" si="18"/>
        <v>1310318150.8450997</v>
      </c>
      <c r="W83" s="41">
        <f t="shared" si="18"/>
        <v>5331553064.1326504</v>
      </c>
    </row>
    <row r="84" spans="1:23" ht="24.9" customHeight="1">
      <c r="A84" s="151"/>
      <c r="B84" s="153"/>
      <c r="C84" s="36">
        <v>6</v>
      </c>
      <c r="D84" s="40" t="s">
        <v>282</v>
      </c>
      <c r="E84" s="40">
        <v>178818460.01519999</v>
      </c>
      <c r="F84" s="40">
        <v>0</v>
      </c>
      <c r="G84" s="40">
        <v>5364553.8004999999</v>
      </c>
      <c r="H84" s="40">
        <v>0</v>
      </c>
      <c r="I84" s="40">
        <f t="shared" si="10"/>
        <v>5364553.8004999999</v>
      </c>
      <c r="J84" s="40">
        <v>70950646.920200005</v>
      </c>
      <c r="K84" s="45">
        <f t="shared" si="15"/>
        <v>255133660.73589998</v>
      </c>
      <c r="L84" s="44"/>
      <c r="M84" s="152">
        <v>22</v>
      </c>
      <c r="N84" s="49">
        <v>1</v>
      </c>
      <c r="O84" s="151" t="s">
        <v>104</v>
      </c>
      <c r="P84" s="50" t="s">
        <v>283</v>
      </c>
      <c r="Q84" s="40">
        <v>205306234.05140001</v>
      </c>
      <c r="R84" s="51">
        <f t="shared" ref="R84:R104" si="19">-8911571.37</f>
        <v>-8911571.3699999992</v>
      </c>
      <c r="S84" s="40">
        <v>6159187.0214999998</v>
      </c>
      <c r="T84" s="40">
        <f t="shared" si="13"/>
        <v>3079593.5107499999</v>
      </c>
      <c r="U84" s="40">
        <f t="shared" ref="U84:U104" si="20">S84-T84</f>
        <v>3079593.5107499999</v>
      </c>
      <c r="V84" s="40">
        <v>67868818.176799998</v>
      </c>
      <c r="W84" s="45">
        <f t="shared" si="16"/>
        <v>267343074.36895001</v>
      </c>
    </row>
    <row r="85" spans="1:23" ht="24.9" customHeight="1">
      <c r="A85" s="151"/>
      <c r="B85" s="153"/>
      <c r="C85" s="36">
        <v>7</v>
      </c>
      <c r="D85" s="40" t="s">
        <v>284</v>
      </c>
      <c r="E85" s="40">
        <v>165724373.20289999</v>
      </c>
      <c r="F85" s="40">
        <v>0</v>
      </c>
      <c r="G85" s="40">
        <v>4971731.1961000003</v>
      </c>
      <c r="H85" s="40">
        <v>0</v>
      </c>
      <c r="I85" s="40">
        <f t="shared" si="10"/>
        <v>4971731.1961000003</v>
      </c>
      <c r="J85" s="40">
        <v>66878721.9789</v>
      </c>
      <c r="K85" s="45">
        <f t="shared" si="15"/>
        <v>237574826.3779</v>
      </c>
      <c r="L85" s="44"/>
      <c r="M85" s="153"/>
      <c r="N85" s="49">
        <v>2</v>
      </c>
      <c r="O85" s="151"/>
      <c r="P85" s="50" t="s">
        <v>285</v>
      </c>
      <c r="Q85" s="40">
        <v>181537041.4066</v>
      </c>
      <c r="R85" s="51">
        <f t="shared" si="19"/>
        <v>-8911571.3699999992</v>
      </c>
      <c r="S85" s="40">
        <v>5446111.2422000002</v>
      </c>
      <c r="T85" s="40">
        <f t="shared" si="13"/>
        <v>2723055.6211000001</v>
      </c>
      <c r="U85" s="40">
        <f t="shared" si="20"/>
        <v>2723055.6211000001</v>
      </c>
      <c r="V85" s="40">
        <v>57253691.676700003</v>
      </c>
      <c r="W85" s="45">
        <f t="shared" si="16"/>
        <v>232602217.33439997</v>
      </c>
    </row>
    <row r="86" spans="1:23" ht="24.9" customHeight="1">
      <c r="A86" s="151"/>
      <c r="B86" s="153"/>
      <c r="C86" s="36">
        <v>8</v>
      </c>
      <c r="D86" s="40" t="s">
        <v>286</v>
      </c>
      <c r="E86" s="40">
        <v>148178181.49129999</v>
      </c>
      <c r="F86" s="40">
        <v>0</v>
      </c>
      <c r="G86" s="40">
        <v>4445345.4446999999</v>
      </c>
      <c r="H86" s="40">
        <v>0</v>
      </c>
      <c r="I86" s="40">
        <f t="shared" si="10"/>
        <v>4445345.4446999999</v>
      </c>
      <c r="J86" s="40">
        <v>58635197.051200002</v>
      </c>
      <c r="K86" s="45">
        <f t="shared" si="15"/>
        <v>211258723.98719999</v>
      </c>
      <c r="L86" s="44"/>
      <c r="M86" s="153"/>
      <c r="N86" s="49">
        <v>3</v>
      </c>
      <c r="O86" s="151"/>
      <c r="P86" s="50" t="s">
        <v>287</v>
      </c>
      <c r="Q86" s="40">
        <v>229108543.88640001</v>
      </c>
      <c r="R86" s="51">
        <f t="shared" si="19"/>
        <v>-8911571.3699999992</v>
      </c>
      <c r="S86" s="40">
        <v>6873256.3165999996</v>
      </c>
      <c r="T86" s="40">
        <f t="shared" si="13"/>
        <v>3436628.1582999998</v>
      </c>
      <c r="U86" s="40">
        <f t="shared" si="20"/>
        <v>3436628.1582999998</v>
      </c>
      <c r="V86" s="40">
        <v>76528453.192699999</v>
      </c>
      <c r="W86" s="45">
        <f t="shared" si="16"/>
        <v>300162053.86739999</v>
      </c>
    </row>
    <row r="87" spans="1:23" ht="24.9" customHeight="1">
      <c r="A87" s="151"/>
      <c r="B87" s="153"/>
      <c r="C87" s="36">
        <v>9</v>
      </c>
      <c r="D87" s="40" t="s">
        <v>288</v>
      </c>
      <c r="E87" s="40">
        <v>164579647.02970001</v>
      </c>
      <c r="F87" s="40">
        <v>0</v>
      </c>
      <c r="G87" s="40">
        <v>4937389.4108999996</v>
      </c>
      <c r="H87" s="40">
        <v>0</v>
      </c>
      <c r="I87" s="40">
        <f t="shared" si="10"/>
        <v>4937389.4108999996</v>
      </c>
      <c r="J87" s="40">
        <v>66854932.868199997</v>
      </c>
      <c r="K87" s="45">
        <f t="shared" si="15"/>
        <v>236371969.30880001</v>
      </c>
      <c r="L87" s="44"/>
      <c r="M87" s="153"/>
      <c r="N87" s="49">
        <v>4</v>
      </c>
      <c r="O87" s="151"/>
      <c r="P87" s="50" t="s">
        <v>289</v>
      </c>
      <c r="Q87" s="40">
        <v>181405798.58410001</v>
      </c>
      <c r="R87" s="51">
        <f t="shared" si="19"/>
        <v>-8911571.3699999992</v>
      </c>
      <c r="S87" s="40">
        <v>5442173.9574999996</v>
      </c>
      <c r="T87" s="40">
        <f t="shared" si="13"/>
        <v>2721086.9787499998</v>
      </c>
      <c r="U87" s="40">
        <f t="shared" si="20"/>
        <v>2721086.9787499998</v>
      </c>
      <c r="V87" s="40">
        <v>59602301.538699999</v>
      </c>
      <c r="W87" s="45">
        <f t="shared" si="16"/>
        <v>234817615.73155004</v>
      </c>
    </row>
    <row r="88" spans="1:23" ht="24.9" customHeight="1">
      <c r="A88" s="151"/>
      <c r="B88" s="153"/>
      <c r="C88" s="36">
        <v>10</v>
      </c>
      <c r="D88" s="40" t="s">
        <v>290</v>
      </c>
      <c r="E88" s="40">
        <v>260370934.44119999</v>
      </c>
      <c r="F88" s="40">
        <v>0</v>
      </c>
      <c r="G88" s="40">
        <v>7811128.0332000004</v>
      </c>
      <c r="H88" s="40">
        <v>0</v>
      </c>
      <c r="I88" s="40">
        <f t="shared" si="10"/>
        <v>7811128.0332000004</v>
      </c>
      <c r="J88" s="40">
        <v>103077110.0478</v>
      </c>
      <c r="K88" s="45">
        <f t="shared" si="15"/>
        <v>371259172.52219999</v>
      </c>
      <c r="L88" s="44"/>
      <c r="M88" s="153"/>
      <c r="N88" s="49">
        <v>5</v>
      </c>
      <c r="O88" s="151"/>
      <c r="P88" s="50" t="s">
        <v>291</v>
      </c>
      <c r="Q88" s="40">
        <v>248038072.81279999</v>
      </c>
      <c r="R88" s="51">
        <f t="shared" si="19"/>
        <v>-8911571.3699999992</v>
      </c>
      <c r="S88" s="40">
        <v>7441142.1843999997</v>
      </c>
      <c r="T88" s="40">
        <f t="shared" si="13"/>
        <v>3720571.0921999998</v>
      </c>
      <c r="U88" s="40">
        <f t="shared" si="20"/>
        <v>3720571.0921999998</v>
      </c>
      <c r="V88" s="40">
        <v>75592703.869599998</v>
      </c>
      <c r="W88" s="45">
        <f t="shared" si="16"/>
        <v>318439776.40459996</v>
      </c>
    </row>
    <row r="89" spans="1:23" ht="24.9" customHeight="1">
      <c r="A89" s="151"/>
      <c r="B89" s="153"/>
      <c r="C89" s="36">
        <v>11</v>
      </c>
      <c r="D89" s="40" t="s">
        <v>292</v>
      </c>
      <c r="E89" s="40">
        <v>180958113.8691</v>
      </c>
      <c r="F89" s="40">
        <v>0</v>
      </c>
      <c r="G89" s="40">
        <v>5428743.4161</v>
      </c>
      <c r="H89" s="40">
        <v>0</v>
      </c>
      <c r="I89" s="40">
        <f t="shared" si="10"/>
        <v>5428743.4161</v>
      </c>
      <c r="J89" s="40">
        <v>73427106.640100002</v>
      </c>
      <c r="K89" s="45">
        <f t="shared" si="15"/>
        <v>259813963.9253</v>
      </c>
      <c r="L89" s="44"/>
      <c r="M89" s="153"/>
      <c r="N89" s="49">
        <v>6</v>
      </c>
      <c r="O89" s="151"/>
      <c r="P89" s="50" t="s">
        <v>293</v>
      </c>
      <c r="Q89" s="40">
        <v>192851416.90099999</v>
      </c>
      <c r="R89" s="51">
        <f t="shared" si="19"/>
        <v>-8911571.3699999992</v>
      </c>
      <c r="S89" s="40">
        <v>5785542.5070000002</v>
      </c>
      <c r="T89" s="40">
        <f t="shared" si="13"/>
        <v>2892771.2535000001</v>
      </c>
      <c r="U89" s="40">
        <f t="shared" si="20"/>
        <v>2892771.2535000001</v>
      </c>
      <c r="V89" s="40">
        <v>58025575.225699998</v>
      </c>
      <c r="W89" s="45">
        <f t="shared" si="16"/>
        <v>244858192.01019996</v>
      </c>
    </row>
    <row r="90" spans="1:23" ht="24.9" customHeight="1">
      <c r="A90" s="151"/>
      <c r="B90" s="153"/>
      <c r="C90" s="36">
        <v>12</v>
      </c>
      <c r="D90" s="40" t="s">
        <v>294</v>
      </c>
      <c r="E90" s="40">
        <v>221239462.6099</v>
      </c>
      <c r="F90" s="40">
        <v>0</v>
      </c>
      <c r="G90" s="40">
        <v>6637183.8783</v>
      </c>
      <c r="H90" s="40">
        <v>0</v>
      </c>
      <c r="I90" s="40">
        <f t="shared" si="10"/>
        <v>6637183.8783</v>
      </c>
      <c r="J90" s="40">
        <v>85982839.8178</v>
      </c>
      <c r="K90" s="45">
        <f t="shared" si="15"/>
        <v>313859486.30599999</v>
      </c>
      <c r="L90" s="44"/>
      <c r="M90" s="153"/>
      <c r="N90" s="49">
        <v>7</v>
      </c>
      <c r="O90" s="151"/>
      <c r="P90" s="50" t="s">
        <v>295</v>
      </c>
      <c r="Q90" s="40">
        <v>161819852.9711</v>
      </c>
      <c r="R90" s="51">
        <f t="shared" si="19"/>
        <v>-8911571.3699999992</v>
      </c>
      <c r="S90" s="40">
        <v>4854595.5891000004</v>
      </c>
      <c r="T90" s="40">
        <f t="shared" si="13"/>
        <v>2427297.7945500002</v>
      </c>
      <c r="U90" s="40">
        <f t="shared" si="20"/>
        <v>2427297.7945500002</v>
      </c>
      <c r="V90" s="40">
        <v>51604641.722199999</v>
      </c>
      <c r="W90" s="45">
        <f t="shared" si="16"/>
        <v>206940221.11785001</v>
      </c>
    </row>
    <row r="91" spans="1:23" ht="24.9" customHeight="1">
      <c r="A91" s="151"/>
      <c r="B91" s="153"/>
      <c r="C91" s="36">
        <v>13</v>
      </c>
      <c r="D91" s="40" t="s">
        <v>296</v>
      </c>
      <c r="E91" s="40">
        <v>162554535.11989999</v>
      </c>
      <c r="F91" s="40">
        <v>0</v>
      </c>
      <c r="G91" s="40">
        <v>4876636.0536000002</v>
      </c>
      <c r="H91" s="40">
        <v>0</v>
      </c>
      <c r="I91" s="40">
        <f t="shared" si="10"/>
        <v>4876636.0536000002</v>
      </c>
      <c r="J91" s="40">
        <v>65557030.881300002</v>
      </c>
      <c r="K91" s="45">
        <f t="shared" si="15"/>
        <v>232988202.0548</v>
      </c>
      <c r="L91" s="44"/>
      <c r="M91" s="153"/>
      <c r="N91" s="49">
        <v>8</v>
      </c>
      <c r="O91" s="151"/>
      <c r="P91" s="50" t="s">
        <v>297</v>
      </c>
      <c r="Q91" s="40">
        <v>189620770.09689999</v>
      </c>
      <c r="R91" s="51">
        <f t="shared" si="19"/>
        <v>-8911571.3699999992</v>
      </c>
      <c r="S91" s="40">
        <v>5688623.1029000003</v>
      </c>
      <c r="T91" s="40">
        <f t="shared" si="13"/>
        <v>2844311.5514500001</v>
      </c>
      <c r="U91" s="40">
        <f t="shared" si="20"/>
        <v>2844311.5514500001</v>
      </c>
      <c r="V91" s="40">
        <v>60669090.321099997</v>
      </c>
      <c r="W91" s="45">
        <f t="shared" si="16"/>
        <v>244222600.59944996</v>
      </c>
    </row>
    <row r="92" spans="1:23" ht="24.9" customHeight="1">
      <c r="A92" s="151"/>
      <c r="B92" s="153"/>
      <c r="C92" s="36">
        <v>14</v>
      </c>
      <c r="D92" s="40" t="s">
        <v>298</v>
      </c>
      <c r="E92" s="40">
        <v>161173788.8391</v>
      </c>
      <c r="F92" s="40">
        <v>0</v>
      </c>
      <c r="G92" s="40">
        <v>4835213.6651999997</v>
      </c>
      <c r="H92" s="40">
        <v>0</v>
      </c>
      <c r="I92" s="40">
        <f t="shared" si="10"/>
        <v>4835213.6651999997</v>
      </c>
      <c r="J92" s="40">
        <v>66766953.028399996</v>
      </c>
      <c r="K92" s="45">
        <f t="shared" si="15"/>
        <v>232775955.5327</v>
      </c>
      <c r="L92" s="44"/>
      <c r="M92" s="153"/>
      <c r="N92" s="49">
        <v>9</v>
      </c>
      <c r="O92" s="151"/>
      <c r="P92" s="50" t="s">
        <v>299</v>
      </c>
      <c r="Q92" s="40">
        <v>185961825.51840001</v>
      </c>
      <c r="R92" s="51">
        <f t="shared" si="19"/>
        <v>-8911571.3699999992</v>
      </c>
      <c r="S92" s="40">
        <v>5578854.7655999996</v>
      </c>
      <c r="T92" s="40">
        <f t="shared" si="13"/>
        <v>2789427.3827999998</v>
      </c>
      <c r="U92" s="40">
        <f t="shared" si="20"/>
        <v>2789427.3827999998</v>
      </c>
      <c r="V92" s="40">
        <v>56935794.732900001</v>
      </c>
      <c r="W92" s="45">
        <f t="shared" si="16"/>
        <v>236775476.26409999</v>
      </c>
    </row>
    <row r="93" spans="1:23" ht="24.9" customHeight="1">
      <c r="A93" s="151"/>
      <c r="B93" s="153"/>
      <c r="C93" s="36">
        <v>15</v>
      </c>
      <c r="D93" s="40" t="s">
        <v>300</v>
      </c>
      <c r="E93" s="40">
        <v>193443839.01289999</v>
      </c>
      <c r="F93" s="40">
        <v>0</v>
      </c>
      <c r="G93" s="40">
        <v>5803315.1704000002</v>
      </c>
      <c r="H93" s="40">
        <v>0</v>
      </c>
      <c r="I93" s="40">
        <f t="shared" si="10"/>
        <v>5803315.1704000002</v>
      </c>
      <c r="J93" s="40">
        <v>76879185.701100007</v>
      </c>
      <c r="K93" s="45">
        <f t="shared" si="15"/>
        <v>276126339.88440001</v>
      </c>
      <c r="L93" s="44"/>
      <c r="M93" s="153"/>
      <c r="N93" s="49">
        <v>10</v>
      </c>
      <c r="O93" s="151"/>
      <c r="P93" s="50" t="s">
        <v>301</v>
      </c>
      <c r="Q93" s="40">
        <v>196603840.10190001</v>
      </c>
      <c r="R93" s="51">
        <f t="shared" si="19"/>
        <v>-8911571.3699999992</v>
      </c>
      <c r="S93" s="40">
        <v>5898115.2030999996</v>
      </c>
      <c r="T93" s="40">
        <f t="shared" si="13"/>
        <v>2949057.6015499998</v>
      </c>
      <c r="U93" s="40">
        <f t="shared" si="20"/>
        <v>2949057.6015499998</v>
      </c>
      <c r="V93" s="40">
        <v>60327005.566399999</v>
      </c>
      <c r="W93" s="45">
        <f t="shared" si="16"/>
        <v>250968331.89984998</v>
      </c>
    </row>
    <row r="94" spans="1:23" ht="24.9" customHeight="1">
      <c r="A94" s="151"/>
      <c r="B94" s="153"/>
      <c r="C94" s="36">
        <v>16</v>
      </c>
      <c r="D94" s="40" t="s">
        <v>302</v>
      </c>
      <c r="E94" s="40">
        <v>184841062.12599999</v>
      </c>
      <c r="F94" s="40">
        <v>0</v>
      </c>
      <c r="G94" s="40">
        <v>5545231.8638000004</v>
      </c>
      <c r="H94" s="40">
        <v>0</v>
      </c>
      <c r="I94" s="40">
        <f t="shared" si="10"/>
        <v>5545231.8638000004</v>
      </c>
      <c r="J94" s="40">
        <v>75313755.893199995</v>
      </c>
      <c r="K94" s="45">
        <f t="shared" si="15"/>
        <v>265700049.88299996</v>
      </c>
      <c r="L94" s="44"/>
      <c r="M94" s="153"/>
      <c r="N94" s="49">
        <v>11</v>
      </c>
      <c r="O94" s="151"/>
      <c r="P94" s="50" t="s">
        <v>104</v>
      </c>
      <c r="Q94" s="40">
        <v>173068123.62810001</v>
      </c>
      <c r="R94" s="51">
        <f t="shared" si="19"/>
        <v>-8911571.3699999992</v>
      </c>
      <c r="S94" s="40">
        <v>5192043.7088000001</v>
      </c>
      <c r="T94" s="40">
        <f t="shared" si="13"/>
        <v>2596021.8544000001</v>
      </c>
      <c r="U94" s="40">
        <f t="shared" si="20"/>
        <v>2596021.8544000001</v>
      </c>
      <c r="V94" s="40">
        <v>56400340.390799999</v>
      </c>
      <c r="W94" s="45">
        <f t="shared" si="16"/>
        <v>223152914.50329998</v>
      </c>
    </row>
    <row r="95" spans="1:23" ht="24.9" customHeight="1">
      <c r="A95" s="151"/>
      <c r="B95" s="153"/>
      <c r="C95" s="36">
        <v>17</v>
      </c>
      <c r="D95" s="40" t="s">
        <v>303</v>
      </c>
      <c r="E95" s="40">
        <v>154845754.1063</v>
      </c>
      <c r="F95" s="40">
        <v>0</v>
      </c>
      <c r="G95" s="40">
        <v>4645372.6232000003</v>
      </c>
      <c r="H95" s="40">
        <v>0</v>
      </c>
      <c r="I95" s="40">
        <f t="shared" si="10"/>
        <v>4645372.6232000003</v>
      </c>
      <c r="J95" s="40">
        <v>62430822.7676</v>
      </c>
      <c r="K95" s="45">
        <f t="shared" si="15"/>
        <v>221921949.4971</v>
      </c>
      <c r="L95" s="44"/>
      <c r="M95" s="153"/>
      <c r="N95" s="49">
        <v>12</v>
      </c>
      <c r="O95" s="151"/>
      <c r="P95" s="50" t="s">
        <v>304</v>
      </c>
      <c r="Q95" s="40">
        <v>220957333.38699999</v>
      </c>
      <c r="R95" s="51">
        <f t="shared" si="19"/>
        <v>-8911571.3699999992</v>
      </c>
      <c r="S95" s="40">
        <v>6628720.0016000001</v>
      </c>
      <c r="T95" s="40">
        <f t="shared" si="13"/>
        <v>3314360.0008</v>
      </c>
      <c r="U95" s="40">
        <f t="shared" si="20"/>
        <v>3314360.0008</v>
      </c>
      <c r="V95" s="40">
        <v>66947422.060199998</v>
      </c>
      <c r="W95" s="45">
        <f t="shared" si="16"/>
        <v>282307544.07799995</v>
      </c>
    </row>
    <row r="96" spans="1:23" ht="24.9" customHeight="1">
      <c r="A96" s="151"/>
      <c r="B96" s="153"/>
      <c r="C96" s="36">
        <v>18</v>
      </c>
      <c r="D96" s="40" t="s">
        <v>305</v>
      </c>
      <c r="E96" s="40">
        <v>160448403.24169999</v>
      </c>
      <c r="F96" s="40">
        <v>0</v>
      </c>
      <c r="G96" s="40">
        <v>4813452.0971999997</v>
      </c>
      <c r="H96" s="40">
        <v>0</v>
      </c>
      <c r="I96" s="40">
        <f t="shared" si="10"/>
        <v>4813452.0971999997</v>
      </c>
      <c r="J96" s="40">
        <v>63988411.471900001</v>
      </c>
      <c r="K96" s="45">
        <f t="shared" si="15"/>
        <v>229250266.81080002</v>
      </c>
      <c r="L96" s="44"/>
      <c r="M96" s="153"/>
      <c r="N96" s="49">
        <v>13</v>
      </c>
      <c r="O96" s="151"/>
      <c r="P96" s="50" t="s">
        <v>306</v>
      </c>
      <c r="Q96" s="40">
        <v>145845027.10589999</v>
      </c>
      <c r="R96" s="51">
        <f t="shared" si="19"/>
        <v>-8911571.3699999992</v>
      </c>
      <c r="S96" s="40">
        <v>4375350.8131999997</v>
      </c>
      <c r="T96" s="40">
        <f t="shared" si="13"/>
        <v>2187675.4065999999</v>
      </c>
      <c r="U96" s="40">
        <f t="shared" si="20"/>
        <v>2187675.4065999999</v>
      </c>
      <c r="V96" s="40">
        <v>46849743.372000001</v>
      </c>
      <c r="W96" s="45">
        <f t="shared" si="16"/>
        <v>185970874.51449999</v>
      </c>
    </row>
    <row r="97" spans="1:23" ht="24.9" customHeight="1">
      <c r="A97" s="151"/>
      <c r="B97" s="153"/>
      <c r="C97" s="36">
        <v>19</v>
      </c>
      <c r="D97" s="40" t="s">
        <v>307</v>
      </c>
      <c r="E97" s="40">
        <v>173270652.0882</v>
      </c>
      <c r="F97" s="40">
        <v>0</v>
      </c>
      <c r="G97" s="40">
        <v>5198119.5625999998</v>
      </c>
      <c r="H97" s="40">
        <v>0</v>
      </c>
      <c r="I97" s="40">
        <f t="shared" si="10"/>
        <v>5198119.5625999998</v>
      </c>
      <c r="J97" s="40">
        <v>68738658.319999993</v>
      </c>
      <c r="K97" s="45">
        <f t="shared" si="15"/>
        <v>247207429.97079998</v>
      </c>
      <c r="L97" s="44"/>
      <c r="M97" s="153"/>
      <c r="N97" s="49">
        <v>14</v>
      </c>
      <c r="O97" s="151"/>
      <c r="P97" s="50" t="s">
        <v>308</v>
      </c>
      <c r="Q97" s="40">
        <v>212036770.67160001</v>
      </c>
      <c r="R97" s="51">
        <f t="shared" si="19"/>
        <v>-8911571.3699999992</v>
      </c>
      <c r="S97" s="40">
        <v>6361103.1200999999</v>
      </c>
      <c r="T97" s="40">
        <f t="shared" si="13"/>
        <v>3180551.56005</v>
      </c>
      <c r="U97" s="40">
        <f t="shared" si="20"/>
        <v>3180551.56005</v>
      </c>
      <c r="V97" s="40">
        <v>66536495.0744</v>
      </c>
      <c r="W97" s="45">
        <f t="shared" si="16"/>
        <v>272842245.93605</v>
      </c>
    </row>
    <row r="98" spans="1:23" ht="24.9" customHeight="1">
      <c r="A98" s="151"/>
      <c r="B98" s="153"/>
      <c r="C98" s="36">
        <v>20</v>
      </c>
      <c r="D98" s="40" t="s">
        <v>309</v>
      </c>
      <c r="E98" s="40">
        <v>175345518.80320001</v>
      </c>
      <c r="F98" s="40">
        <v>0</v>
      </c>
      <c r="G98" s="40">
        <v>5260365.5641000001</v>
      </c>
      <c r="H98" s="40">
        <v>0</v>
      </c>
      <c r="I98" s="40">
        <f t="shared" si="10"/>
        <v>5260365.5641000001</v>
      </c>
      <c r="J98" s="40">
        <v>70704648.908999994</v>
      </c>
      <c r="K98" s="45">
        <f t="shared" si="15"/>
        <v>251310533.27630001</v>
      </c>
      <c r="L98" s="44"/>
      <c r="M98" s="153"/>
      <c r="N98" s="49">
        <v>15</v>
      </c>
      <c r="O98" s="151"/>
      <c r="P98" s="50" t="s">
        <v>310</v>
      </c>
      <c r="Q98" s="40">
        <v>141589752.50029999</v>
      </c>
      <c r="R98" s="51">
        <f t="shared" si="19"/>
        <v>-8911571.3699999992</v>
      </c>
      <c r="S98" s="40">
        <v>4247692.5750000002</v>
      </c>
      <c r="T98" s="40">
        <f t="shared" si="13"/>
        <v>2123846.2875000001</v>
      </c>
      <c r="U98" s="40">
        <f t="shared" si="20"/>
        <v>2123846.2875000001</v>
      </c>
      <c r="V98" s="40">
        <v>46262989.606700003</v>
      </c>
      <c r="W98" s="45">
        <f t="shared" si="16"/>
        <v>181065017.02449998</v>
      </c>
    </row>
    <row r="99" spans="1:23" ht="24.9" customHeight="1">
      <c r="A99" s="151"/>
      <c r="B99" s="154"/>
      <c r="C99" s="36">
        <v>21</v>
      </c>
      <c r="D99" s="40" t="s">
        <v>311</v>
      </c>
      <c r="E99" s="40">
        <v>168357519.4479</v>
      </c>
      <c r="F99" s="40">
        <v>0</v>
      </c>
      <c r="G99" s="40">
        <v>5050725.5833999999</v>
      </c>
      <c r="H99" s="40">
        <v>0</v>
      </c>
      <c r="I99" s="40">
        <f t="shared" si="10"/>
        <v>5050725.5833999999</v>
      </c>
      <c r="J99" s="40">
        <v>68157087.657000005</v>
      </c>
      <c r="K99" s="45">
        <f t="shared" si="15"/>
        <v>241565332.68830001</v>
      </c>
      <c r="L99" s="44"/>
      <c r="M99" s="153"/>
      <c r="N99" s="49">
        <v>16</v>
      </c>
      <c r="O99" s="151"/>
      <c r="P99" s="50" t="s">
        <v>312</v>
      </c>
      <c r="Q99" s="40">
        <v>205272872.49110001</v>
      </c>
      <c r="R99" s="51">
        <f t="shared" si="19"/>
        <v>-8911571.3699999992</v>
      </c>
      <c r="S99" s="40">
        <v>6158186.1747000003</v>
      </c>
      <c r="T99" s="40">
        <f t="shared" si="13"/>
        <v>3079093.0873500002</v>
      </c>
      <c r="U99" s="40">
        <f t="shared" si="20"/>
        <v>3079093.0873500002</v>
      </c>
      <c r="V99" s="40">
        <v>67577102.5449</v>
      </c>
      <c r="W99" s="45">
        <f t="shared" si="16"/>
        <v>267017496.75334999</v>
      </c>
    </row>
    <row r="100" spans="1:23" ht="24.9" customHeight="1">
      <c r="A100" s="36"/>
      <c r="B100" s="146" t="s">
        <v>313</v>
      </c>
      <c r="C100" s="147"/>
      <c r="D100" s="41"/>
      <c r="E100" s="41">
        <f>SUM(E79:E99)</f>
        <v>3797810538.1153994</v>
      </c>
      <c r="F100" s="41">
        <f t="shared" ref="F100:K100" si="21">SUM(F79:F99)</f>
        <v>0</v>
      </c>
      <c r="G100" s="41">
        <f t="shared" si="21"/>
        <v>113934316.1435</v>
      </c>
      <c r="H100" s="41">
        <f t="shared" si="21"/>
        <v>0</v>
      </c>
      <c r="I100" s="41">
        <f t="shared" si="10"/>
        <v>113934316.1435</v>
      </c>
      <c r="J100" s="41">
        <f t="shared" si="21"/>
        <v>1518138796.7659998</v>
      </c>
      <c r="K100" s="41">
        <f t="shared" si="21"/>
        <v>5429883651.0249014</v>
      </c>
      <c r="L100" s="44"/>
      <c r="M100" s="153"/>
      <c r="N100" s="49">
        <v>17</v>
      </c>
      <c r="O100" s="151"/>
      <c r="P100" s="50" t="s">
        <v>314</v>
      </c>
      <c r="Q100" s="40">
        <v>256726984.23500001</v>
      </c>
      <c r="R100" s="51">
        <f t="shared" si="19"/>
        <v>-8911571.3699999992</v>
      </c>
      <c r="S100" s="40">
        <v>7701809.5269999998</v>
      </c>
      <c r="T100" s="40">
        <f t="shared" si="13"/>
        <v>3850904.7634999999</v>
      </c>
      <c r="U100" s="40">
        <f t="shared" si="20"/>
        <v>3850904.7634999999</v>
      </c>
      <c r="V100" s="40">
        <v>83559796.672299996</v>
      </c>
      <c r="W100" s="45">
        <f t="shared" si="16"/>
        <v>335226114.30080003</v>
      </c>
    </row>
    <row r="101" spans="1:23" ht="24.9" customHeight="1">
      <c r="A101" s="151">
        <v>5</v>
      </c>
      <c r="B101" s="152" t="s">
        <v>315</v>
      </c>
      <c r="C101" s="36">
        <v>1</v>
      </c>
      <c r="D101" s="40" t="s">
        <v>316</v>
      </c>
      <c r="E101" s="40">
        <v>283868978.92430001</v>
      </c>
      <c r="F101" s="40">
        <v>0</v>
      </c>
      <c r="G101" s="40">
        <v>8516069.3676999994</v>
      </c>
      <c r="H101" s="40">
        <v>0</v>
      </c>
      <c r="I101" s="40">
        <f t="shared" si="10"/>
        <v>8516069.3676999994</v>
      </c>
      <c r="J101" s="40">
        <v>85518212.056700006</v>
      </c>
      <c r="K101" s="45">
        <f t="shared" si="15"/>
        <v>377903260.34869999</v>
      </c>
      <c r="L101" s="44"/>
      <c r="M101" s="153"/>
      <c r="N101" s="49">
        <v>18</v>
      </c>
      <c r="O101" s="151"/>
      <c r="P101" s="50" t="s">
        <v>317</v>
      </c>
      <c r="Q101" s="40">
        <v>193925532.9235</v>
      </c>
      <c r="R101" s="51">
        <f t="shared" si="19"/>
        <v>-8911571.3699999992</v>
      </c>
      <c r="S101" s="40">
        <v>5817765.9877000004</v>
      </c>
      <c r="T101" s="40">
        <f t="shared" si="13"/>
        <v>2908882.9938500002</v>
      </c>
      <c r="U101" s="40">
        <f t="shared" si="20"/>
        <v>2908882.9938500002</v>
      </c>
      <c r="V101" s="40">
        <v>62281433.850199997</v>
      </c>
      <c r="W101" s="45">
        <f t="shared" si="16"/>
        <v>250204278.39754999</v>
      </c>
    </row>
    <row r="102" spans="1:23" ht="24.9" customHeight="1">
      <c r="A102" s="151"/>
      <c r="B102" s="153"/>
      <c r="C102" s="36">
        <v>2</v>
      </c>
      <c r="D102" s="40" t="s">
        <v>87</v>
      </c>
      <c r="E102" s="40">
        <v>342801689.52240002</v>
      </c>
      <c r="F102" s="40">
        <v>0</v>
      </c>
      <c r="G102" s="40">
        <v>10284050.685699999</v>
      </c>
      <c r="H102" s="40">
        <v>0</v>
      </c>
      <c r="I102" s="40">
        <f t="shared" si="10"/>
        <v>10284050.685699999</v>
      </c>
      <c r="J102" s="40">
        <v>107365121.33580001</v>
      </c>
      <c r="K102" s="45">
        <f t="shared" si="15"/>
        <v>460450861.54390001</v>
      </c>
      <c r="L102" s="44"/>
      <c r="M102" s="153"/>
      <c r="N102" s="49">
        <v>19</v>
      </c>
      <c r="O102" s="151"/>
      <c r="P102" s="50" t="s">
        <v>318</v>
      </c>
      <c r="Q102" s="40">
        <v>183617604.28310001</v>
      </c>
      <c r="R102" s="51">
        <f t="shared" si="19"/>
        <v>-8911571.3699999992</v>
      </c>
      <c r="S102" s="40">
        <v>5508528.1284999996</v>
      </c>
      <c r="T102" s="40">
        <f t="shared" si="13"/>
        <v>2754264.0642499998</v>
      </c>
      <c r="U102" s="40">
        <f t="shared" si="20"/>
        <v>2754264.0642499998</v>
      </c>
      <c r="V102" s="40">
        <v>55403855.740199998</v>
      </c>
      <c r="W102" s="45">
        <f t="shared" si="16"/>
        <v>232864152.71754998</v>
      </c>
    </row>
    <row r="103" spans="1:23" ht="24.9" customHeight="1">
      <c r="A103" s="151"/>
      <c r="B103" s="153"/>
      <c r="C103" s="36">
        <v>3</v>
      </c>
      <c r="D103" s="40" t="s">
        <v>319</v>
      </c>
      <c r="E103" s="40">
        <v>149923107.63929999</v>
      </c>
      <c r="F103" s="40">
        <v>0</v>
      </c>
      <c r="G103" s="40">
        <v>4497693.2291999999</v>
      </c>
      <c r="H103" s="40">
        <v>0</v>
      </c>
      <c r="I103" s="40">
        <f t="shared" si="10"/>
        <v>4497693.2291999999</v>
      </c>
      <c r="J103" s="40">
        <v>52929921.220200002</v>
      </c>
      <c r="K103" s="45">
        <f t="shared" si="15"/>
        <v>207350722.0887</v>
      </c>
      <c r="L103" s="44"/>
      <c r="M103" s="153"/>
      <c r="N103" s="49">
        <v>20</v>
      </c>
      <c r="O103" s="151"/>
      <c r="P103" s="50" t="s">
        <v>320</v>
      </c>
      <c r="Q103" s="40">
        <v>196882464.56659999</v>
      </c>
      <c r="R103" s="51">
        <f t="shared" si="19"/>
        <v>-8911571.3699999992</v>
      </c>
      <c r="S103" s="40">
        <v>5906473.9369999999</v>
      </c>
      <c r="T103" s="40">
        <f t="shared" si="13"/>
        <v>2953236.9685</v>
      </c>
      <c r="U103" s="40">
        <f t="shared" si="20"/>
        <v>2953236.9685</v>
      </c>
      <c r="V103" s="40">
        <v>60802389.0814</v>
      </c>
      <c r="W103" s="45">
        <f t="shared" si="16"/>
        <v>251726519.24650002</v>
      </c>
    </row>
    <row r="104" spans="1:23" ht="24.9" customHeight="1">
      <c r="A104" s="151"/>
      <c r="B104" s="153"/>
      <c r="C104" s="36">
        <v>4</v>
      </c>
      <c r="D104" s="40" t="s">
        <v>321</v>
      </c>
      <c r="E104" s="40">
        <v>177184617.8326</v>
      </c>
      <c r="F104" s="40">
        <v>0</v>
      </c>
      <c r="G104" s="40">
        <v>5315538.5350000001</v>
      </c>
      <c r="H104" s="40">
        <v>0</v>
      </c>
      <c r="I104" s="40">
        <f t="shared" si="10"/>
        <v>5315538.5350000001</v>
      </c>
      <c r="J104" s="40">
        <v>61795285.529200003</v>
      </c>
      <c r="K104" s="45">
        <f t="shared" si="15"/>
        <v>244295441.89679998</v>
      </c>
      <c r="L104" s="44"/>
      <c r="M104" s="154"/>
      <c r="N104" s="49">
        <v>21</v>
      </c>
      <c r="O104" s="151"/>
      <c r="P104" s="50" t="s">
        <v>322</v>
      </c>
      <c r="Q104" s="40">
        <v>192642691.93439999</v>
      </c>
      <c r="R104" s="51">
        <f t="shared" si="19"/>
        <v>-8911571.3699999992</v>
      </c>
      <c r="S104" s="40">
        <v>5779280.7580000004</v>
      </c>
      <c r="T104" s="40">
        <f t="shared" si="13"/>
        <v>2889640.3790000002</v>
      </c>
      <c r="U104" s="40">
        <f t="shared" si="20"/>
        <v>2889640.3790000002</v>
      </c>
      <c r="V104" s="40">
        <v>59623166.848200001</v>
      </c>
      <c r="W104" s="45">
        <f t="shared" si="16"/>
        <v>246243927.79159996</v>
      </c>
    </row>
    <row r="105" spans="1:23" ht="24.9" customHeight="1">
      <c r="A105" s="151"/>
      <c r="B105" s="153"/>
      <c r="C105" s="36">
        <v>5</v>
      </c>
      <c r="D105" s="40" t="s">
        <v>323</v>
      </c>
      <c r="E105" s="40">
        <v>224765984.7013</v>
      </c>
      <c r="F105" s="40">
        <v>0</v>
      </c>
      <c r="G105" s="40">
        <v>6742979.5410000002</v>
      </c>
      <c r="H105" s="40">
        <v>0</v>
      </c>
      <c r="I105" s="40">
        <f t="shared" si="10"/>
        <v>6742979.5410000002</v>
      </c>
      <c r="J105" s="40">
        <v>75174999.079500005</v>
      </c>
      <c r="K105" s="45">
        <f t="shared" si="15"/>
        <v>306683963.32179999</v>
      </c>
      <c r="L105" s="44"/>
      <c r="M105" s="36"/>
      <c r="N105" s="147" t="s">
        <v>324</v>
      </c>
      <c r="O105" s="150"/>
      <c r="P105" s="41"/>
      <c r="Q105" s="41">
        <f t="shared" ref="Q105:W105" si="22">SUM(Q84:Q104)</f>
        <v>4094818554.0572</v>
      </c>
      <c r="R105" s="41">
        <f t="shared" si="22"/>
        <v>-187142998.77000004</v>
      </c>
      <c r="S105" s="41">
        <f t="shared" si="22"/>
        <v>122844556.62150002</v>
      </c>
      <c r="T105" s="41">
        <f t="shared" si="22"/>
        <v>61422278.310750008</v>
      </c>
      <c r="U105" s="41">
        <f t="shared" si="22"/>
        <v>61422278.310750008</v>
      </c>
      <c r="V105" s="41">
        <f t="shared" si="22"/>
        <v>1296652811.2641001</v>
      </c>
      <c r="W105" s="41">
        <f t="shared" si="22"/>
        <v>5265750644.8620501</v>
      </c>
    </row>
    <row r="106" spans="1:23" ht="24.9" customHeight="1">
      <c r="A106" s="151"/>
      <c r="B106" s="153"/>
      <c r="C106" s="36">
        <v>6</v>
      </c>
      <c r="D106" s="40" t="s">
        <v>325</v>
      </c>
      <c r="E106" s="40">
        <v>148836610.11019999</v>
      </c>
      <c r="F106" s="40">
        <v>0</v>
      </c>
      <c r="G106" s="40">
        <v>4465098.3032999998</v>
      </c>
      <c r="H106" s="40">
        <v>0</v>
      </c>
      <c r="I106" s="40">
        <f t="shared" si="10"/>
        <v>4465098.3032999998</v>
      </c>
      <c r="J106" s="40">
        <v>53691172.7645</v>
      </c>
      <c r="K106" s="45">
        <f t="shared" si="15"/>
        <v>206992881.17799997</v>
      </c>
      <c r="L106" s="44"/>
      <c r="M106" s="152">
        <v>23</v>
      </c>
      <c r="N106" s="49">
        <v>1</v>
      </c>
      <c r="O106" s="151" t="s">
        <v>105</v>
      </c>
      <c r="P106" s="50" t="s">
        <v>326</v>
      </c>
      <c r="Q106" s="40">
        <v>166376343.5257</v>
      </c>
      <c r="R106" s="40">
        <v>0</v>
      </c>
      <c r="S106" s="40">
        <v>4991290.3058000002</v>
      </c>
      <c r="T106" s="40">
        <f t="shared" si="13"/>
        <v>2495645.1529000001</v>
      </c>
      <c r="U106" s="40">
        <f t="shared" ref="U106:U169" si="23">S106-T106</f>
        <v>2495645.1529000001</v>
      </c>
      <c r="V106" s="40">
        <v>60581122.741999999</v>
      </c>
      <c r="W106" s="45">
        <f t="shared" si="16"/>
        <v>229453111.4206</v>
      </c>
    </row>
    <row r="107" spans="1:23" ht="24.9" customHeight="1">
      <c r="A107" s="151"/>
      <c r="B107" s="153"/>
      <c r="C107" s="36">
        <v>7</v>
      </c>
      <c r="D107" s="40" t="s">
        <v>327</v>
      </c>
      <c r="E107" s="40">
        <v>237449748.41600001</v>
      </c>
      <c r="F107" s="40">
        <v>0</v>
      </c>
      <c r="G107" s="40">
        <v>7123492.4524999997</v>
      </c>
      <c r="H107" s="40">
        <v>0</v>
      </c>
      <c r="I107" s="40">
        <f t="shared" si="10"/>
        <v>7123492.4524999997</v>
      </c>
      <c r="J107" s="40">
        <v>79798725.070299998</v>
      </c>
      <c r="K107" s="45">
        <f t="shared" si="15"/>
        <v>324371965.93879998</v>
      </c>
      <c r="L107" s="44"/>
      <c r="M107" s="153"/>
      <c r="N107" s="49">
        <v>2</v>
      </c>
      <c r="O107" s="151"/>
      <c r="P107" s="50" t="s">
        <v>328</v>
      </c>
      <c r="Q107" s="40">
        <v>273596251.8502</v>
      </c>
      <c r="R107" s="40">
        <v>0</v>
      </c>
      <c r="S107" s="40">
        <v>8207887.5554999998</v>
      </c>
      <c r="T107" s="40">
        <f t="shared" si="13"/>
        <v>4103943.7777499999</v>
      </c>
      <c r="U107" s="40">
        <f t="shared" si="23"/>
        <v>4103943.7777499999</v>
      </c>
      <c r="V107" s="40">
        <v>71615017.331499994</v>
      </c>
      <c r="W107" s="45">
        <f t="shared" si="16"/>
        <v>349315212.95944995</v>
      </c>
    </row>
    <row r="108" spans="1:23" ht="24.9" customHeight="1">
      <c r="A108" s="151"/>
      <c r="B108" s="153"/>
      <c r="C108" s="36">
        <v>8</v>
      </c>
      <c r="D108" s="40" t="s">
        <v>329</v>
      </c>
      <c r="E108" s="40">
        <v>239698600.7577</v>
      </c>
      <c r="F108" s="40">
        <v>0</v>
      </c>
      <c r="G108" s="40">
        <v>7190958.0226999996</v>
      </c>
      <c r="H108" s="40">
        <v>0</v>
      </c>
      <c r="I108" s="40">
        <f t="shared" si="10"/>
        <v>7190958.0226999996</v>
      </c>
      <c r="J108" s="40">
        <v>75024954.911599994</v>
      </c>
      <c r="K108" s="45">
        <f t="shared" si="15"/>
        <v>321914513.69200003</v>
      </c>
      <c r="L108" s="44"/>
      <c r="M108" s="153"/>
      <c r="N108" s="49">
        <v>3</v>
      </c>
      <c r="O108" s="151"/>
      <c r="P108" s="50" t="s">
        <v>330</v>
      </c>
      <c r="Q108" s="40">
        <v>209694353.17199999</v>
      </c>
      <c r="R108" s="40">
        <v>0</v>
      </c>
      <c r="S108" s="40">
        <v>6290830.5952000003</v>
      </c>
      <c r="T108" s="40">
        <f t="shared" si="13"/>
        <v>3145415.2976000002</v>
      </c>
      <c r="U108" s="40">
        <f t="shared" si="23"/>
        <v>3145415.2976000002</v>
      </c>
      <c r="V108" s="40">
        <v>70553145.851400003</v>
      </c>
      <c r="W108" s="45">
        <f t="shared" si="16"/>
        <v>283392914.32099998</v>
      </c>
    </row>
    <row r="109" spans="1:23" ht="24.9" customHeight="1">
      <c r="A109" s="151"/>
      <c r="B109" s="153"/>
      <c r="C109" s="36">
        <v>9</v>
      </c>
      <c r="D109" s="40" t="s">
        <v>331</v>
      </c>
      <c r="E109" s="40">
        <v>168601434.82069999</v>
      </c>
      <c r="F109" s="40">
        <v>0</v>
      </c>
      <c r="G109" s="40">
        <v>5058043.0445999997</v>
      </c>
      <c r="H109" s="40">
        <v>0</v>
      </c>
      <c r="I109" s="40">
        <f t="shared" si="10"/>
        <v>5058043.0445999997</v>
      </c>
      <c r="J109" s="40">
        <v>62598932.192599997</v>
      </c>
      <c r="K109" s="45">
        <f t="shared" si="15"/>
        <v>236258410.05790001</v>
      </c>
      <c r="L109" s="44"/>
      <c r="M109" s="153"/>
      <c r="N109" s="49">
        <v>4</v>
      </c>
      <c r="O109" s="151"/>
      <c r="P109" s="50" t="s">
        <v>95</v>
      </c>
      <c r="Q109" s="40">
        <v>127699196.1513</v>
      </c>
      <c r="R109" s="40">
        <v>0</v>
      </c>
      <c r="S109" s="40">
        <v>3830975.8845000002</v>
      </c>
      <c r="T109" s="40">
        <f t="shared" si="13"/>
        <v>1915487.9422500001</v>
      </c>
      <c r="U109" s="40">
        <f t="shared" si="23"/>
        <v>1915487.9422500001</v>
      </c>
      <c r="V109" s="40">
        <v>51067471.939900003</v>
      </c>
      <c r="W109" s="45">
        <f t="shared" si="16"/>
        <v>180682156.03345001</v>
      </c>
    </row>
    <row r="110" spans="1:23" ht="24.9" customHeight="1">
      <c r="A110" s="151"/>
      <c r="B110" s="153"/>
      <c r="C110" s="36">
        <v>10</v>
      </c>
      <c r="D110" s="40" t="s">
        <v>332</v>
      </c>
      <c r="E110" s="40">
        <v>193097848.6981</v>
      </c>
      <c r="F110" s="40">
        <v>0</v>
      </c>
      <c r="G110" s="40">
        <v>5792935.4609000003</v>
      </c>
      <c r="H110" s="40">
        <v>0</v>
      </c>
      <c r="I110" s="40">
        <f t="shared" si="10"/>
        <v>5792935.4609000003</v>
      </c>
      <c r="J110" s="40">
        <v>72304224.881300002</v>
      </c>
      <c r="K110" s="45">
        <f t="shared" si="15"/>
        <v>271195009.04030001</v>
      </c>
      <c r="L110" s="44"/>
      <c r="M110" s="153"/>
      <c r="N110" s="49">
        <v>5</v>
      </c>
      <c r="O110" s="151"/>
      <c r="P110" s="50" t="s">
        <v>333</v>
      </c>
      <c r="Q110" s="40">
        <v>221571431.77200001</v>
      </c>
      <c r="R110" s="40">
        <v>0</v>
      </c>
      <c r="S110" s="40">
        <v>6647142.9532000003</v>
      </c>
      <c r="T110" s="40">
        <f t="shared" si="13"/>
        <v>3323571.4766000002</v>
      </c>
      <c r="U110" s="40">
        <f t="shared" si="23"/>
        <v>3323571.4766000002</v>
      </c>
      <c r="V110" s="40">
        <v>71160897.826199993</v>
      </c>
      <c r="W110" s="45">
        <f t="shared" si="16"/>
        <v>296055901.07480001</v>
      </c>
    </row>
    <row r="111" spans="1:23" ht="24.9" customHeight="1">
      <c r="A111" s="151"/>
      <c r="B111" s="153"/>
      <c r="C111" s="36">
        <v>11</v>
      </c>
      <c r="D111" s="40" t="s">
        <v>334</v>
      </c>
      <c r="E111" s="40">
        <v>149413009.72589999</v>
      </c>
      <c r="F111" s="40">
        <v>0</v>
      </c>
      <c r="G111" s="40">
        <v>4482390.2917999998</v>
      </c>
      <c r="H111" s="40">
        <v>0</v>
      </c>
      <c r="I111" s="40">
        <f t="shared" si="10"/>
        <v>4482390.2917999998</v>
      </c>
      <c r="J111" s="40">
        <v>57404400.443599999</v>
      </c>
      <c r="K111" s="45">
        <f t="shared" si="15"/>
        <v>211299800.46129999</v>
      </c>
      <c r="L111" s="44"/>
      <c r="M111" s="153"/>
      <c r="N111" s="49">
        <v>6</v>
      </c>
      <c r="O111" s="151"/>
      <c r="P111" s="50" t="s">
        <v>335</v>
      </c>
      <c r="Q111" s="40">
        <v>190437827.62459999</v>
      </c>
      <c r="R111" s="40">
        <v>0</v>
      </c>
      <c r="S111" s="40">
        <v>5713134.8287000004</v>
      </c>
      <c r="T111" s="40">
        <f t="shared" si="13"/>
        <v>2856567.4143500002</v>
      </c>
      <c r="U111" s="40">
        <f t="shared" si="23"/>
        <v>2856567.4143500002</v>
      </c>
      <c r="V111" s="40">
        <v>70930714.922099993</v>
      </c>
      <c r="W111" s="45">
        <f t="shared" si="16"/>
        <v>264225109.96104997</v>
      </c>
    </row>
    <row r="112" spans="1:23" ht="24.9" customHeight="1">
      <c r="A112" s="151"/>
      <c r="B112" s="153"/>
      <c r="C112" s="36">
        <v>12</v>
      </c>
      <c r="D112" s="40" t="s">
        <v>336</v>
      </c>
      <c r="E112" s="40">
        <v>231381615.05950001</v>
      </c>
      <c r="F112" s="40">
        <v>0</v>
      </c>
      <c r="G112" s="40">
        <v>6941448.4517999999</v>
      </c>
      <c r="H112" s="40">
        <v>0</v>
      </c>
      <c r="I112" s="40">
        <f t="shared" ref="I112:I129" si="24">G112-H112</f>
        <v>6941448.4517999999</v>
      </c>
      <c r="J112" s="40">
        <v>81072173.446199998</v>
      </c>
      <c r="K112" s="45">
        <f t="shared" si="15"/>
        <v>319395236.95749998</v>
      </c>
      <c r="L112" s="44"/>
      <c r="M112" s="153"/>
      <c r="N112" s="49">
        <v>7</v>
      </c>
      <c r="O112" s="151"/>
      <c r="P112" s="50" t="s">
        <v>337</v>
      </c>
      <c r="Q112" s="40">
        <v>192490217.74700001</v>
      </c>
      <c r="R112" s="40">
        <v>0</v>
      </c>
      <c r="S112" s="40">
        <v>5774706.5323999999</v>
      </c>
      <c r="T112" s="40">
        <f t="shared" si="13"/>
        <v>2887353.2662</v>
      </c>
      <c r="U112" s="40">
        <f t="shared" si="23"/>
        <v>2887353.2662</v>
      </c>
      <c r="V112" s="40">
        <v>71512950.0854</v>
      </c>
      <c r="W112" s="45">
        <f t="shared" si="16"/>
        <v>266890521.09860003</v>
      </c>
    </row>
    <row r="113" spans="1:23" ht="24.9" customHeight="1">
      <c r="A113" s="151"/>
      <c r="B113" s="153"/>
      <c r="C113" s="36">
        <v>13</v>
      </c>
      <c r="D113" s="40" t="s">
        <v>338</v>
      </c>
      <c r="E113" s="40">
        <v>190300336.02990001</v>
      </c>
      <c r="F113" s="40">
        <v>0</v>
      </c>
      <c r="G113" s="40">
        <v>5709010.0809000004</v>
      </c>
      <c r="H113" s="40">
        <v>0</v>
      </c>
      <c r="I113" s="40">
        <f t="shared" si="24"/>
        <v>5709010.0809000004</v>
      </c>
      <c r="J113" s="40">
        <v>61356183.730599999</v>
      </c>
      <c r="K113" s="45">
        <f t="shared" si="15"/>
        <v>257365529.84140003</v>
      </c>
      <c r="L113" s="44"/>
      <c r="M113" s="153"/>
      <c r="N113" s="49">
        <v>8</v>
      </c>
      <c r="O113" s="151"/>
      <c r="P113" s="50" t="s">
        <v>339</v>
      </c>
      <c r="Q113" s="40">
        <v>226988198.43709999</v>
      </c>
      <c r="R113" s="40">
        <v>0</v>
      </c>
      <c r="S113" s="40">
        <v>6809645.9530999996</v>
      </c>
      <c r="T113" s="40">
        <f t="shared" si="13"/>
        <v>3404822.9765499998</v>
      </c>
      <c r="U113" s="40">
        <f t="shared" si="23"/>
        <v>3404822.9765499998</v>
      </c>
      <c r="V113" s="40">
        <v>92242036.959099993</v>
      </c>
      <c r="W113" s="45">
        <f t="shared" si="16"/>
        <v>322635058.37274998</v>
      </c>
    </row>
    <row r="114" spans="1:23" ht="24.9" customHeight="1">
      <c r="A114" s="151"/>
      <c r="B114" s="153"/>
      <c r="C114" s="36">
        <v>14</v>
      </c>
      <c r="D114" s="40" t="s">
        <v>340</v>
      </c>
      <c r="E114" s="40">
        <v>222210955.30419999</v>
      </c>
      <c r="F114" s="40">
        <v>0</v>
      </c>
      <c r="G114" s="40">
        <v>6666328.6590999998</v>
      </c>
      <c r="H114" s="40">
        <v>0</v>
      </c>
      <c r="I114" s="40">
        <f t="shared" si="24"/>
        <v>6666328.6590999998</v>
      </c>
      <c r="J114" s="40">
        <v>76755180.794</v>
      </c>
      <c r="K114" s="45">
        <f t="shared" si="15"/>
        <v>305632464.75730002</v>
      </c>
      <c r="L114" s="44"/>
      <c r="M114" s="153"/>
      <c r="N114" s="49">
        <v>9</v>
      </c>
      <c r="O114" s="151"/>
      <c r="P114" s="50" t="s">
        <v>341</v>
      </c>
      <c r="Q114" s="40">
        <v>164097585.87599999</v>
      </c>
      <c r="R114" s="40">
        <v>0</v>
      </c>
      <c r="S114" s="40">
        <v>4922927.5762999998</v>
      </c>
      <c r="T114" s="40">
        <f t="shared" si="13"/>
        <v>2461463.7881499999</v>
      </c>
      <c r="U114" s="40">
        <f t="shared" si="23"/>
        <v>2461463.7881499999</v>
      </c>
      <c r="V114" s="40">
        <v>63528181.574699998</v>
      </c>
      <c r="W114" s="45">
        <f t="shared" si="16"/>
        <v>230087231.23884997</v>
      </c>
    </row>
    <row r="115" spans="1:23" ht="24.9" customHeight="1">
      <c r="A115" s="151"/>
      <c r="B115" s="153"/>
      <c r="C115" s="36">
        <v>15</v>
      </c>
      <c r="D115" s="40" t="s">
        <v>342</v>
      </c>
      <c r="E115" s="40">
        <v>284758424.34219998</v>
      </c>
      <c r="F115" s="40">
        <v>0</v>
      </c>
      <c r="G115" s="40">
        <v>8542752.7302999999</v>
      </c>
      <c r="H115" s="40">
        <v>0</v>
      </c>
      <c r="I115" s="40">
        <f t="shared" si="24"/>
        <v>8542752.7302999999</v>
      </c>
      <c r="J115" s="40">
        <v>93195582.728400007</v>
      </c>
      <c r="K115" s="45">
        <f t="shared" si="15"/>
        <v>386496759.80089998</v>
      </c>
      <c r="L115" s="44"/>
      <c r="M115" s="153"/>
      <c r="N115" s="49">
        <v>10</v>
      </c>
      <c r="O115" s="151"/>
      <c r="P115" s="50" t="s">
        <v>343</v>
      </c>
      <c r="Q115" s="40">
        <v>218221414.04750001</v>
      </c>
      <c r="R115" s="40">
        <v>0</v>
      </c>
      <c r="S115" s="40">
        <v>6546642.4214000003</v>
      </c>
      <c r="T115" s="40">
        <f t="shared" si="13"/>
        <v>3273321.2107000002</v>
      </c>
      <c r="U115" s="40">
        <f t="shared" si="23"/>
        <v>3273321.2107000002</v>
      </c>
      <c r="V115" s="40">
        <v>60279306.705499999</v>
      </c>
      <c r="W115" s="45">
        <f t="shared" si="16"/>
        <v>281774041.9637</v>
      </c>
    </row>
    <row r="116" spans="1:23" ht="24.9" customHeight="1">
      <c r="A116" s="151"/>
      <c r="B116" s="153"/>
      <c r="C116" s="36">
        <v>16</v>
      </c>
      <c r="D116" s="40" t="s">
        <v>344</v>
      </c>
      <c r="E116" s="40">
        <v>213477735.79350001</v>
      </c>
      <c r="F116" s="40">
        <v>0</v>
      </c>
      <c r="G116" s="40">
        <v>6404332.0738000004</v>
      </c>
      <c r="H116" s="40">
        <v>0</v>
      </c>
      <c r="I116" s="40">
        <f t="shared" si="24"/>
        <v>6404332.0738000004</v>
      </c>
      <c r="J116" s="40">
        <v>72838217.322799996</v>
      </c>
      <c r="K116" s="45">
        <f t="shared" si="15"/>
        <v>292720285.19010001</v>
      </c>
      <c r="L116" s="44"/>
      <c r="M116" s="153"/>
      <c r="N116" s="49">
        <v>11</v>
      </c>
      <c r="O116" s="151"/>
      <c r="P116" s="50" t="s">
        <v>345</v>
      </c>
      <c r="Q116" s="40">
        <v>172990520.56310001</v>
      </c>
      <c r="R116" s="40">
        <v>0</v>
      </c>
      <c r="S116" s="40">
        <v>5189715.6168999998</v>
      </c>
      <c r="T116" s="40">
        <f t="shared" si="13"/>
        <v>2594857.8084499999</v>
      </c>
      <c r="U116" s="40">
        <f t="shared" si="23"/>
        <v>2594857.8084499999</v>
      </c>
      <c r="V116" s="40">
        <v>58236366.981700003</v>
      </c>
      <c r="W116" s="45">
        <f t="shared" si="16"/>
        <v>233821745.35325</v>
      </c>
    </row>
    <row r="117" spans="1:23" ht="24.9" customHeight="1">
      <c r="A117" s="151"/>
      <c r="B117" s="153"/>
      <c r="C117" s="36">
        <v>17</v>
      </c>
      <c r="D117" s="40" t="s">
        <v>346</v>
      </c>
      <c r="E117" s="40">
        <v>209971721.9161</v>
      </c>
      <c r="F117" s="40">
        <v>0</v>
      </c>
      <c r="G117" s="40">
        <v>6299151.6574999997</v>
      </c>
      <c r="H117" s="40">
        <v>0</v>
      </c>
      <c r="I117" s="40">
        <f t="shared" si="24"/>
        <v>6299151.6574999997</v>
      </c>
      <c r="J117" s="40">
        <v>70974161.079799995</v>
      </c>
      <c r="K117" s="45">
        <f t="shared" si="15"/>
        <v>287245034.6534</v>
      </c>
      <c r="L117" s="44"/>
      <c r="M117" s="153"/>
      <c r="N117" s="49">
        <v>12</v>
      </c>
      <c r="O117" s="151"/>
      <c r="P117" s="50" t="s">
        <v>347</v>
      </c>
      <c r="Q117" s="40">
        <v>153655859.14250001</v>
      </c>
      <c r="R117" s="40">
        <v>0</v>
      </c>
      <c r="S117" s="40">
        <v>4609675.7742999997</v>
      </c>
      <c r="T117" s="40">
        <f t="shared" si="13"/>
        <v>2304837.8871499998</v>
      </c>
      <c r="U117" s="40">
        <f t="shared" si="23"/>
        <v>2304837.8871499998</v>
      </c>
      <c r="V117" s="40">
        <v>55695583.632799998</v>
      </c>
      <c r="W117" s="45">
        <f t="shared" si="16"/>
        <v>211656280.66245002</v>
      </c>
    </row>
    <row r="118" spans="1:23" ht="24.9" customHeight="1">
      <c r="A118" s="151"/>
      <c r="B118" s="153"/>
      <c r="C118" s="36">
        <v>18</v>
      </c>
      <c r="D118" s="40" t="s">
        <v>348</v>
      </c>
      <c r="E118" s="40">
        <v>295285273.08899999</v>
      </c>
      <c r="F118" s="40">
        <v>0</v>
      </c>
      <c r="G118" s="40">
        <v>8858558.1927000005</v>
      </c>
      <c r="H118" s="40">
        <v>0</v>
      </c>
      <c r="I118" s="40">
        <f t="shared" si="24"/>
        <v>8858558.1927000005</v>
      </c>
      <c r="J118" s="40">
        <v>88306455.317499995</v>
      </c>
      <c r="K118" s="45">
        <f t="shared" si="15"/>
        <v>392450286.59920001</v>
      </c>
      <c r="L118" s="44"/>
      <c r="M118" s="153"/>
      <c r="N118" s="49">
        <v>13</v>
      </c>
      <c r="O118" s="151"/>
      <c r="P118" s="50" t="s">
        <v>349</v>
      </c>
      <c r="Q118" s="40">
        <v>128566443.92919999</v>
      </c>
      <c r="R118" s="40">
        <v>0</v>
      </c>
      <c r="S118" s="40">
        <v>3856993.3179000001</v>
      </c>
      <c r="T118" s="40">
        <f t="shared" si="13"/>
        <v>1928496.6589500001</v>
      </c>
      <c r="U118" s="40">
        <f t="shared" si="23"/>
        <v>1928496.6589500001</v>
      </c>
      <c r="V118" s="40">
        <v>51435472.2064</v>
      </c>
      <c r="W118" s="45">
        <f t="shared" si="16"/>
        <v>181930412.79455</v>
      </c>
    </row>
    <row r="119" spans="1:23" ht="24.9" customHeight="1">
      <c r="A119" s="151"/>
      <c r="B119" s="153"/>
      <c r="C119" s="36">
        <v>19</v>
      </c>
      <c r="D119" s="40" t="s">
        <v>350</v>
      </c>
      <c r="E119" s="40">
        <v>164343377.78690001</v>
      </c>
      <c r="F119" s="40">
        <v>0</v>
      </c>
      <c r="G119" s="40">
        <v>4930301.3335999995</v>
      </c>
      <c r="H119" s="40">
        <v>0</v>
      </c>
      <c r="I119" s="40">
        <f t="shared" si="24"/>
        <v>4930301.3335999995</v>
      </c>
      <c r="J119" s="40">
        <v>56984037.553499997</v>
      </c>
      <c r="K119" s="45">
        <f t="shared" si="15"/>
        <v>226257716.67400002</v>
      </c>
      <c r="L119" s="44"/>
      <c r="M119" s="153"/>
      <c r="N119" s="49">
        <v>14</v>
      </c>
      <c r="O119" s="151"/>
      <c r="P119" s="50" t="s">
        <v>351</v>
      </c>
      <c r="Q119" s="40">
        <v>128021260.3417</v>
      </c>
      <c r="R119" s="40">
        <v>0</v>
      </c>
      <c r="S119" s="40">
        <v>3840637.8102000002</v>
      </c>
      <c r="T119" s="40">
        <f t="shared" si="13"/>
        <v>1920318.9051000001</v>
      </c>
      <c r="U119" s="40">
        <f t="shared" si="23"/>
        <v>1920318.9051000001</v>
      </c>
      <c r="V119" s="40">
        <v>51717087.433700003</v>
      </c>
      <c r="W119" s="45">
        <f t="shared" si="16"/>
        <v>181658666.6805</v>
      </c>
    </row>
    <row r="120" spans="1:23" ht="24.9" customHeight="1">
      <c r="A120" s="151"/>
      <c r="B120" s="154"/>
      <c r="C120" s="36">
        <v>20</v>
      </c>
      <c r="D120" s="40" t="s">
        <v>352</v>
      </c>
      <c r="E120" s="40">
        <v>183895429.6406</v>
      </c>
      <c r="F120" s="40">
        <v>0</v>
      </c>
      <c r="G120" s="40">
        <v>5516862.8892000001</v>
      </c>
      <c r="H120" s="40">
        <v>0</v>
      </c>
      <c r="I120" s="40">
        <f t="shared" si="24"/>
        <v>5516862.8892000001</v>
      </c>
      <c r="J120" s="40">
        <v>67182389.465200007</v>
      </c>
      <c r="K120" s="45">
        <f t="shared" si="15"/>
        <v>256594681.995</v>
      </c>
      <c r="L120" s="44"/>
      <c r="M120" s="153"/>
      <c r="N120" s="49">
        <v>15</v>
      </c>
      <c r="O120" s="151"/>
      <c r="P120" s="50" t="s">
        <v>353</v>
      </c>
      <c r="Q120" s="40">
        <v>146178982.13510001</v>
      </c>
      <c r="R120" s="40">
        <v>0</v>
      </c>
      <c r="S120" s="40">
        <v>4385369.4641000004</v>
      </c>
      <c r="T120" s="40">
        <f t="shared" si="13"/>
        <v>2192684.7320500002</v>
      </c>
      <c r="U120" s="40">
        <f t="shared" si="23"/>
        <v>2192684.7320500002</v>
      </c>
      <c r="V120" s="40">
        <v>56304133.008000001</v>
      </c>
      <c r="W120" s="45">
        <f t="shared" si="16"/>
        <v>204675799.87515002</v>
      </c>
    </row>
    <row r="121" spans="1:23" ht="24.9" customHeight="1">
      <c r="A121" s="36"/>
      <c r="B121" s="146" t="s">
        <v>354</v>
      </c>
      <c r="C121" s="147"/>
      <c r="D121" s="41"/>
      <c r="E121" s="41">
        <f>SUM(E101:E120)</f>
        <v>4311266500.1104002</v>
      </c>
      <c r="F121" s="41">
        <f t="shared" ref="F121:K121" si="25">SUM(F101:F120)</f>
        <v>0</v>
      </c>
      <c r="G121" s="41">
        <f t="shared" si="25"/>
        <v>129337995.00329998</v>
      </c>
      <c r="H121" s="41">
        <f t="shared" si="25"/>
        <v>0</v>
      </c>
      <c r="I121" s="41">
        <f t="shared" si="24"/>
        <v>129337995.00329998</v>
      </c>
      <c r="J121" s="41">
        <f t="shared" si="25"/>
        <v>1452270330.9233</v>
      </c>
      <c r="K121" s="41">
        <f t="shared" si="25"/>
        <v>5892874826.0369997</v>
      </c>
      <c r="L121" s="44"/>
      <c r="M121" s="154"/>
      <c r="N121" s="49">
        <v>16</v>
      </c>
      <c r="O121" s="151"/>
      <c r="P121" s="50" t="s">
        <v>355</v>
      </c>
      <c r="Q121" s="40">
        <v>176927152.12279999</v>
      </c>
      <c r="R121" s="40">
        <v>0</v>
      </c>
      <c r="S121" s="40">
        <v>5307814.5636999998</v>
      </c>
      <c r="T121" s="40">
        <f t="shared" si="13"/>
        <v>2653907.2818499999</v>
      </c>
      <c r="U121" s="40">
        <f t="shared" si="23"/>
        <v>2653907.2818499999</v>
      </c>
      <c r="V121" s="40">
        <v>58704839.693599999</v>
      </c>
      <c r="W121" s="45">
        <f t="shared" si="16"/>
        <v>238285899.09824997</v>
      </c>
    </row>
    <row r="122" spans="1:23" ht="24.9" customHeight="1">
      <c r="A122" s="151">
        <v>6</v>
      </c>
      <c r="B122" s="152" t="s">
        <v>356</v>
      </c>
      <c r="C122" s="36">
        <v>1</v>
      </c>
      <c r="D122" s="40" t="s">
        <v>357</v>
      </c>
      <c r="E122" s="40">
        <v>208826915.53240001</v>
      </c>
      <c r="F122" s="40">
        <v>0</v>
      </c>
      <c r="G122" s="40">
        <v>6264807.466</v>
      </c>
      <c r="H122" s="40">
        <f>G122/2</f>
        <v>3132403.733</v>
      </c>
      <c r="I122" s="40">
        <f t="shared" si="24"/>
        <v>3132403.733</v>
      </c>
      <c r="J122" s="40">
        <v>87994794.576800004</v>
      </c>
      <c r="K122" s="45">
        <f t="shared" si="15"/>
        <v>299954113.84219998</v>
      </c>
      <c r="L122" s="44"/>
      <c r="M122" s="36"/>
      <c r="N122" s="147" t="s">
        <v>358</v>
      </c>
      <c r="O122" s="150"/>
      <c r="P122" s="41"/>
      <c r="Q122" s="41">
        <f t="shared" ref="Q122:S122" si="26">SUM(Q106:Q121)</f>
        <v>2897513038.4377995</v>
      </c>
      <c r="R122" s="41">
        <f t="shared" si="26"/>
        <v>0</v>
      </c>
      <c r="S122" s="41">
        <f t="shared" si="26"/>
        <v>86925391.153200015</v>
      </c>
      <c r="T122" s="41">
        <f t="shared" ref="T122:W122" si="27">SUM(T106:T121)</f>
        <v>43462695.576600008</v>
      </c>
      <c r="U122" s="41">
        <f t="shared" si="27"/>
        <v>43462695.576600008</v>
      </c>
      <c r="V122" s="41">
        <f t="shared" si="27"/>
        <v>1015564328.8939998</v>
      </c>
      <c r="W122" s="41">
        <f t="shared" si="27"/>
        <v>3956540062.9083996</v>
      </c>
    </row>
    <row r="123" spans="1:23" ht="24.9" customHeight="1">
      <c r="A123" s="151"/>
      <c r="B123" s="153"/>
      <c r="C123" s="36">
        <v>2</v>
      </c>
      <c r="D123" s="40" t="s">
        <v>359</v>
      </c>
      <c r="E123" s="40">
        <v>239734381.7403</v>
      </c>
      <c r="F123" s="40">
        <v>0</v>
      </c>
      <c r="G123" s="40">
        <v>7192031.4522000002</v>
      </c>
      <c r="H123" s="40">
        <f t="shared" ref="H123:H153" si="28">G123/2</f>
        <v>3596015.7261000001</v>
      </c>
      <c r="I123" s="40">
        <f t="shared" si="24"/>
        <v>3596015.7261000001</v>
      </c>
      <c r="J123" s="40">
        <v>99318942.897599995</v>
      </c>
      <c r="K123" s="45">
        <f t="shared" si="15"/>
        <v>342649340.36399996</v>
      </c>
      <c r="L123" s="44"/>
      <c r="M123" s="152">
        <v>24</v>
      </c>
      <c r="N123" s="46">
        <v>1</v>
      </c>
      <c r="O123" s="152" t="s">
        <v>106</v>
      </c>
      <c r="P123" s="40" t="s">
        <v>360</v>
      </c>
      <c r="Q123" s="40">
        <v>248284061.79429999</v>
      </c>
      <c r="R123" s="40">
        <v>0</v>
      </c>
      <c r="S123" s="40">
        <v>7448521.8537999997</v>
      </c>
      <c r="T123" s="40">
        <v>0</v>
      </c>
      <c r="U123" s="40">
        <f t="shared" si="23"/>
        <v>7448521.8537999997</v>
      </c>
      <c r="V123" s="40">
        <v>411107068.50580001</v>
      </c>
      <c r="W123" s="45">
        <f t="shared" si="16"/>
        <v>666839652.15390003</v>
      </c>
    </row>
    <row r="124" spans="1:23" ht="24.9" customHeight="1">
      <c r="A124" s="151"/>
      <c r="B124" s="153"/>
      <c r="C124" s="36">
        <v>3</v>
      </c>
      <c r="D124" s="48" t="s">
        <v>361</v>
      </c>
      <c r="E124" s="40">
        <v>159543485.6938</v>
      </c>
      <c r="F124" s="40">
        <v>0</v>
      </c>
      <c r="G124" s="40">
        <v>4786304.5707999999</v>
      </c>
      <c r="H124" s="40">
        <f t="shared" si="28"/>
        <v>2393152.2853999999</v>
      </c>
      <c r="I124" s="40">
        <f t="shared" si="24"/>
        <v>2393152.2853999999</v>
      </c>
      <c r="J124" s="40">
        <v>73673882.800899997</v>
      </c>
      <c r="K124" s="45">
        <f t="shared" si="15"/>
        <v>235610520.78009999</v>
      </c>
      <c r="L124" s="44"/>
      <c r="M124" s="153"/>
      <c r="N124" s="46">
        <v>2</v>
      </c>
      <c r="O124" s="153"/>
      <c r="P124" s="48" t="s">
        <v>362</v>
      </c>
      <c r="Q124" s="40">
        <v>319136345.995</v>
      </c>
      <c r="R124" s="40">
        <v>0</v>
      </c>
      <c r="S124" s="40">
        <v>9574090.3798999991</v>
      </c>
      <c r="T124" s="40">
        <v>0</v>
      </c>
      <c r="U124" s="40">
        <f t="shared" si="23"/>
        <v>9574090.3798999991</v>
      </c>
      <c r="V124" s="40">
        <v>440898743.37760001</v>
      </c>
      <c r="W124" s="45">
        <f t="shared" si="16"/>
        <v>769609179.75250006</v>
      </c>
    </row>
    <row r="125" spans="1:23" ht="24.9" customHeight="1">
      <c r="A125" s="151"/>
      <c r="B125" s="153"/>
      <c r="C125" s="36">
        <v>4</v>
      </c>
      <c r="D125" s="40" t="s">
        <v>363</v>
      </c>
      <c r="E125" s="40">
        <v>196724325.60820001</v>
      </c>
      <c r="F125" s="40">
        <v>0</v>
      </c>
      <c r="G125" s="40">
        <v>5901729.7681999998</v>
      </c>
      <c r="H125" s="40">
        <f t="shared" si="28"/>
        <v>2950864.8840999999</v>
      </c>
      <c r="I125" s="40">
        <f t="shared" si="24"/>
        <v>2950864.8840999999</v>
      </c>
      <c r="J125" s="40">
        <v>80802509.124400005</v>
      </c>
      <c r="K125" s="45">
        <f t="shared" si="15"/>
        <v>280477699.61670005</v>
      </c>
      <c r="L125" s="44"/>
      <c r="M125" s="153"/>
      <c r="N125" s="46">
        <v>3</v>
      </c>
      <c r="O125" s="153"/>
      <c r="P125" s="40" t="s">
        <v>364</v>
      </c>
      <c r="Q125" s="40">
        <v>514668215.85049999</v>
      </c>
      <c r="R125" s="40">
        <v>0</v>
      </c>
      <c r="S125" s="40">
        <v>15440046.475500001</v>
      </c>
      <c r="T125" s="40">
        <v>0</v>
      </c>
      <c r="U125" s="40">
        <f t="shared" si="23"/>
        <v>15440046.475500001</v>
      </c>
      <c r="V125" s="40">
        <v>519789415.15200001</v>
      </c>
      <c r="W125" s="45">
        <f t="shared" si="16"/>
        <v>1049897677.4779999</v>
      </c>
    </row>
    <row r="126" spans="1:23" ht="24.9" customHeight="1">
      <c r="A126" s="151"/>
      <c r="B126" s="153"/>
      <c r="C126" s="36">
        <v>5</v>
      </c>
      <c r="D126" s="40" t="s">
        <v>365</v>
      </c>
      <c r="E126" s="40">
        <v>206740114.9808</v>
      </c>
      <c r="F126" s="40">
        <v>0</v>
      </c>
      <c r="G126" s="40">
        <v>6202203.4494000003</v>
      </c>
      <c r="H126" s="40">
        <f t="shared" si="28"/>
        <v>3101101.7247000001</v>
      </c>
      <c r="I126" s="40">
        <f t="shared" si="24"/>
        <v>3101101.7247000001</v>
      </c>
      <c r="J126" s="40">
        <v>87313947.568900004</v>
      </c>
      <c r="K126" s="45">
        <f t="shared" si="15"/>
        <v>297155164.2744</v>
      </c>
      <c r="L126" s="44"/>
      <c r="M126" s="153"/>
      <c r="N126" s="46">
        <v>4</v>
      </c>
      <c r="O126" s="153"/>
      <c r="P126" s="40" t="s">
        <v>366</v>
      </c>
      <c r="Q126" s="40">
        <v>201154729.82609999</v>
      </c>
      <c r="R126" s="40">
        <v>0</v>
      </c>
      <c r="S126" s="40">
        <v>6034641.8947999999</v>
      </c>
      <c r="T126" s="40">
        <v>0</v>
      </c>
      <c r="U126" s="40">
        <f t="shared" si="23"/>
        <v>6034641.8947999999</v>
      </c>
      <c r="V126" s="40">
        <v>392265428.28570002</v>
      </c>
      <c r="W126" s="45">
        <f t="shared" si="16"/>
        <v>599454800.00660002</v>
      </c>
    </row>
    <row r="127" spans="1:23" ht="24.9" customHeight="1">
      <c r="A127" s="151"/>
      <c r="B127" s="153"/>
      <c r="C127" s="36">
        <v>6</v>
      </c>
      <c r="D127" s="40" t="s">
        <v>367</v>
      </c>
      <c r="E127" s="40">
        <v>203257626.18740001</v>
      </c>
      <c r="F127" s="40">
        <v>0</v>
      </c>
      <c r="G127" s="40">
        <v>6097728.7856000001</v>
      </c>
      <c r="H127" s="40">
        <f t="shared" si="28"/>
        <v>3048864.3928</v>
      </c>
      <c r="I127" s="40">
        <f t="shared" si="24"/>
        <v>3048864.3928</v>
      </c>
      <c r="J127" s="40">
        <v>88273486.002800003</v>
      </c>
      <c r="K127" s="45">
        <f t="shared" si="15"/>
        <v>294579976.583</v>
      </c>
      <c r="L127" s="44"/>
      <c r="M127" s="153"/>
      <c r="N127" s="46">
        <v>5</v>
      </c>
      <c r="O127" s="153"/>
      <c r="P127" s="40" t="s">
        <v>368</v>
      </c>
      <c r="Q127" s="40">
        <v>169120047.6487</v>
      </c>
      <c r="R127" s="40">
        <v>0</v>
      </c>
      <c r="S127" s="40">
        <v>5073601.4294999996</v>
      </c>
      <c r="T127" s="40">
        <v>0</v>
      </c>
      <c r="U127" s="40">
        <f t="shared" si="23"/>
        <v>5073601.4294999996</v>
      </c>
      <c r="V127" s="40">
        <v>378868570.62760001</v>
      </c>
      <c r="W127" s="45">
        <f t="shared" si="16"/>
        <v>553062219.70580006</v>
      </c>
    </row>
    <row r="128" spans="1:23" ht="24.9" customHeight="1">
      <c r="A128" s="151"/>
      <c r="B128" s="153"/>
      <c r="C128" s="36">
        <v>7</v>
      </c>
      <c r="D128" s="40" t="s">
        <v>369</v>
      </c>
      <c r="E128" s="40">
        <v>280814313.8829</v>
      </c>
      <c r="F128" s="40">
        <v>0</v>
      </c>
      <c r="G128" s="40">
        <v>8424429.4165000003</v>
      </c>
      <c r="H128" s="40">
        <f t="shared" si="28"/>
        <v>4212214.7082500001</v>
      </c>
      <c r="I128" s="40">
        <f t="shared" si="24"/>
        <v>4212214.7082500001</v>
      </c>
      <c r="J128" s="40">
        <v>105851778.2517</v>
      </c>
      <c r="K128" s="45">
        <f t="shared" si="15"/>
        <v>390878306.84284997</v>
      </c>
      <c r="L128" s="44"/>
      <c r="M128" s="153"/>
      <c r="N128" s="46">
        <v>6</v>
      </c>
      <c r="O128" s="153"/>
      <c r="P128" s="40" t="s">
        <v>370</v>
      </c>
      <c r="Q128" s="40">
        <v>189069973.86000001</v>
      </c>
      <c r="R128" s="40">
        <v>0</v>
      </c>
      <c r="S128" s="40">
        <v>5672099.2158000004</v>
      </c>
      <c r="T128" s="40">
        <v>0</v>
      </c>
      <c r="U128" s="40">
        <f t="shared" si="23"/>
        <v>5672099.2158000004</v>
      </c>
      <c r="V128" s="40">
        <v>382022421.95380002</v>
      </c>
      <c r="W128" s="45">
        <f t="shared" si="16"/>
        <v>576764495.02960002</v>
      </c>
    </row>
    <row r="129" spans="1:23" ht="24.9" customHeight="1">
      <c r="A129" s="151"/>
      <c r="B129" s="154"/>
      <c r="C129" s="36">
        <v>8</v>
      </c>
      <c r="D129" s="40" t="s">
        <v>371</v>
      </c>
      <c r="E129" s="40">
        <v>259202108.64230001</v>
      </c>
      <c r="F129" s="40">
        <v>0</v>
      </c>
      <c r="G129" s="40">
        <v>7776063.2593</v>
      </c>
      <c r="H129" s="40">
        <f t="shared" si="28"/>
        <v>3888031.62965</v>
      </c>
      <c r="I129" s="40">
        <f t="shared" si="24"/>
        <v>3888031.62965</v>
      </c>
      <c r="J129" s="40">
        <v>110361210.1909</v>
      </c>
      <c r="K129" s="45">
        <f t="shared" si="15"/>
        <v>373451350.46284997</v>
      </c>
      <c r="L129" s="44"/>
      <c r="M129" s="153"/>
      <c r="N129" s="46">
        <v>7</v>
      </c>
      <c r="O129" s="153"/>
      <c r="P129" s="40" t="s">
        <v>372</v>
      </c>
      <c r="Q129" s="40">
        <v>173595121.69440001</v>
      </c>
      <c r="R129" s="40">
        <v>0</v>
      </c>
      <c r="S129" s="40">
        <v>5207853.6507999999</v>
      </c>
      <c r="T129" s="40">
        <v>0</v>
      </c>
      <c r="U129" s="40">
        <f t="shared" si="23"/>
        <v>5207853.6507999999</v>
      </c>
      <c r="V129" s="40">
        <v>374090414.7669</v>
      </c>
      <c r="W129" s="45">
        <f t="shared" si="16"/>
        <v>552893390.11210001</v>
      </c>
    </row>
    <row r="130" spans="1:23" ht="24.9" customHeight="1">
      <c r="A130" s="36"/>
      <c r="B130" s="146" t="s">
        <v>373</v>
      </c>
      <c r="C130" s="147"/>
      <c r="D130" s="41"/>
      <c r="E130" s="41">
        <f>SUM(E122:E129)</f>
        <v>1754843272.2681003</v>
      </c>
      <c r="F130" s="41">
        <f t="shared" ref="F130:K130" si="29">SUM(F122:F129)</f>
        <v>0</v>
      </c>
      <c r="G130" s="41">
        <f t="shared" si="29"/>
        <v>52645298.168000005</v>
      </c>
      <c r="H130" s="41">
        <f t="shared" si="29"/>
        <v>26322649.084000003</v>
      </c>
      <c r="I130" s="41">
        <f t="shared" si="29"/>
        <v>26322649.084000003</v>
      </c>
      <c r="J130" s="41">
        <f t="shared" si="29"/>
        <v>733590551.41399992</v>
      </c>
      <c r="K130" s="41">
        <f t="shared" si="29"/>
        <v>2514756472.7660999</v>
      </c>
      <c r="L130" s="44"/>
      <c r="M130" s="153"/>
      <c r="N130" s="46">
        <v>8</v>
      </c>
      <c r="O130" s="153"/>
      <c r="P130" s="40" t="s">
        <v>374</v>
      </c>
      <c r="Q130" s="40">
        <v>209424046.45699999</v>
      </c>
      <c r="R130" s="40">
        <v>0</v>
      </c>
      <c r="S130" s="40">
        <v>6282721.3936999999</v>
      </c>
      <c r="T130" s="40">
        <v>0</v>
      </c>
      <c r="U130" s="40">
        <f t="shared" si="23"/>
        <v>6282721.3936999999</v>
      </c>
      <c r="V130" s="40">
        <v>388227791.55980003</v>
      </c>
      <c r="W130" s="45">
        <f t="shared" si="16"/>
        <v>603934559.41050005</v>
      </c>
    </row>
    <row r="131" spans="1:23" ht="24.9" customHeight="1">
      <c r="A131" s="151">
        <v>7</v>
      </c>
      <c r="B131" s="152" t="s">
        <v>375</v>
      </c>
      <c r="C131" s="36">
        <v>1</v>
      </c>
      <c r="D131" s="40" t="s">
        <v>376</v>
      </c>
      <c r="E131" s="40">
        <v>206537030.53119999</v>
      </c>
      <c r="F131" s="40">
        <f t="shared" ref="F131:F153" si="30">-6066891.24</f>
        <v>-6066891.2400000002</v>
      </c>
      <c r="G131" s="40">
        <v>6196110.9159000004</v>
      </c>
      <c r="H131" s="40">
        <f t="shared" si="28"/>
        <v>3098055.4579500002</v>
      </c>
      <c r="I131" s="40">
        <f t="shared" ref="I131:I194" si="31">G131-H131</f>
        <v>3098055.4579500002</v>
      </c>
      <c r="J131" s="40">
        <v>64744887.086999997</v>
      </c>
      <c r="K131" s="45">
        <f t="shared" si="15"/>
        <v>268313081.83614999</v>
      </c>
      <c r="L131" s="44"/>
      <c r="M131" s="153"/>
      <c r="N131" s="46">
        <v>9</v>
      </c>
      <c r="O131" s="153"/>
      <c r="P131" s="40" t="s">
        <v>377</v>
      </c>
      <c r="Q131" s="40">
        <v>139840095.05379999</v>
      </c>
      <c r="R131" s="40">
        <v>0</v>
      </c>
      <c r="S131" s="40">
        <v>4195202.8515999997</v>
      </c>
      <c r="T131" s="40">
        <v>0</v>
      </c>
      <c r="U131" s="40">
        <f t="shared" si="23"/>
        <v>4195202.8515999997</v>
      </c>
      <c r="V131" s="40">
        <v>365594379.72500002</v>
      </c>
      <c r="W131" s="45">
        <f t="shared" si="16"/>
        <v>509629677.6304</v>
      </c>
    </row>
    <row r="132" spans="1:23" ht="24.9" customHeight="1">
      <c r="A132" s="151"/>
      <c r="B132" s="153"/>
      <c r="C132" s="36">
        <v>2</v>
      </c>
      <c r="D132" s="40" t="s">
        <v>378</v>
      </c>
      <c r="E132" s="40">
        <v>182237678.77340001</v>
      </c>
      <c r="F132" s="40">
        <f t="shared" si="30"/>
        <v>-6066891.2400000002</v>
      </c>
      <c r="G132" s="40">
        <v>5467130.3631999996</v>
      </c>
      <c r="H132" s="40">
        <f t="shared" si="28"/>
        <v>2733565.1815999998</v>
      </c>
      <c r="I132" s="40">
        <f t="shared" si="31"/>
        <v>2733565.1815999998</v>
      </c>
      <c r="J132" s="40">
        <v>56324472.179300003</v>
      </c>
      <c r="K132" s="45">
        <f t="shared" si="15"/>
        <v>235228824.89430001</v>
      </c>
      <c r="L132" s="44"/>
      <c r="M132" s="153"/>
      <c r="N132" s="46">
        <v>10</v>
      </c>
      <c r="O132" s="153"/>
      <c r="P132" s="40" t="s">
        <v>379</v>
      </c>
      <c r="Q132" s="40">
        <v>238441441.52739999</v>
      </c>
      <c r="R132" s="40">
        <v>0</v>
      </c>
      <c r="S132" s="40">
        <v>7153243.2457999997</v>
      </c>
      <c r="T132" s="40">
        <v>0</v>
      </c>
      <c r="U132" s="40">
        <f t="shared" si="23"/>
        <v>7153243.2457999997</v>
      </c>
      <c r="V132" s="40">
        <v>406846159.67909998</v>
      </c>
      <c r="W132" s="45">
        <f t="shared" si="16"/>
        <v>652440844.45229995</v>
      </c>
    </row>
    <row r="133" spans="1:23" ht="24.9" customHeight="1">
      <c r="A133" s="151"/>
      <c r="B133" s="153"/>
      <c r="C133" s="36">
        <v>3</v>
      </c>
      <c r="D133" s="40" t="s">
        <v>380</v>
      </c>
      <c r="E133" s="40">
        <v>176460253.60550001</v>
      </c>
      <c r="F133" s="40">
        <f t="shared" si="30"/>
        <v>-6066891.2400000002</v>
      </c>
      <c r="G133" s="40">
        <v>5293807.6081999997</v>
      </c>
      <c r="H133" s="40">
        <f t="shared" si="28"/>
        <v>2646903.8040999998</v>
      </c>
      <c r="I133" s="40">
        <f t="shared" si="31"/>
        <v>2646903.8040999998</v>
      </c>
      <c r="J133" s="40">
        <v>53831532.851999998</v>
      </c>
      <c r="K133" s="45">
        <f t="shared" si="15"/>
        <v>226871799.02160001</v>
      </c>
      <c r="L133" s="44"/>
      <c r="M133" s="153"/>
      <c r="N133" s="46">
        <v>11</v>
      </c>
      <c r="O133" s="153"/>
      <c r="P133" s="40" t="s">
        <v>381</v>
      </c>
      <c r="Q133" s="40">
        <v>206120830.5228</v>
      </c>
      <c r="R133" s="40">
        <v>0</v>
      </c>
      <c r="S133" s="40">
        <v>6183624.9156999998</v>
      </c>
      <c r="T133" s="40">
        <v>0</v>
      </c>
      <c r="U133" s="40">
        <f t="shared" si="23"/>
        <v>6183624.9156999998</v>
      </c>
      <c r="V133" s="40">
        <v>391604914.98699999</v>
      </c>
      <c r="W133" s="45">
        <f t="shared" si="16"/>
        <v>603909370.42549992</v>
      </c>
    </row>
    <row r="134" spans="1:23" ht="24.9" customHeight="1">
      <c r="A134" s="151"/>
      <c r="B134" s="153"/>
      <c r="C134" s="36">
        <v>4</v>
      </c>
      <c r="D134" s="40" t="s">
        <v>382</v>
      </c>
      <c r="E134" s="40">
        <v>209191324.1036</v>
      </c>
      <c r="F134" s="40">
        <f t="shared" si="30"/>
        <v>-6066891.2400000002</v>
      </c>
      <c r="G134" s="40">
        <v>6275739.7231000001</v>
      </c>
      <c r="H134" s="40">
        <f t="shared" si="28"/>
        <v>3137869.86155</v>
      </c>
      <c r="I134" s="40">
        <f t="shared" si="31"/>
        <v>3137869.86155</v>
      </c>
      <c r="J134" s="40">
        <v>68045991.679700002</v>
      </c>
      <c r="K134" s="45">
        <f t="shared" si="15"/>
        <v>274308294.40485001</v>
      </c>
      <c r="L134" s="44"/>
      <c r="M134" s="153"/>
      <c r="N134" s="46">
        <v>12</v>
      </c>
      <c r="O134" s="153"/>
      <c r="P134" s="40" t="s">
        <v>383</v>
      </c>
      <c r="Q134" s="40">
        <v>283405918.53430003</v>
      </c>
      <c r="R134" s="40">
        <v>0</v>
      </c>
      <c r="S134" s="40">
        <v>8502177.5559999999</v>
      </c>
      <c r="T134" s="40">
        <v>0</v>
      </c>
      <c r="U134" s="40">
        <f t="shared" si="23"/>
        <v>8502177.5559999999</v>
      </c>
      <c r="V134" s="40">
        <v>421164945.05400002</v>
      </c>
      <c r="W134" s="45">
        <f t="shared" si="16"/>
        <v>713073041.14429998</v>
      </c>
    </row>
    <row r="135" spans="1:23" ht="24.9" customHeight="1">
      <c r="A135" s="151"/>
      <c r="B135" s="153"/>
      <c r="C135" s="36">
        <v>5</v>
      </c>
      <c r="D135" s="40" t="s">
        <v>384</v>
      </c>
      <c r="E135" s="40">
        <v>271497768.57950002</v>
      </c>
      <c r="F135" s="40">
        <f t="shared" si="30"/>
        <v>-6066891.2400000002</v>
      </c>
      <c r="G135" s="40">
        <v>8144933.0574000003</v>
      </c>
      <c r="H135" s="40">
        <f t="shared" si="28"/>
        <v>4072466.5287000001</v>
      </c>
      <c r="I135" s="40">
        <f t="shared" si="31"/>
        <v>4072466.5287000001</v>
      </c>
      <c r="J135" s="40">
        <v>88674074.507799998</v>
      </c>
      <c r="K135" s="45">
        <f t="shared" si="15"/>
        <v>358177418.37599999</v>
      </c>
      <c r="L135" s="44"/>
      <c r="M135" s="153"/>
      <c r="N135" s="46">
        <v>13</v>
      </c>
      <c r="O135" s="153"/>
      <c r="P135" s="40" t="s">
        <v>385</v>
      </c>
      <c r="Q135" s="40">
        <v>306626891.70240003</v>
      </c>
      <c r="R135" s="40">
        <v>0</v>
      </c>
      <c r="S135" s="40">
        <v>9198806.7511</v>
      </c>
      <c r="T135" s="40">
        <v>0</v>
      </c>
      <c r="U135" s="40">
        <f t="shared" si="23"/>
        <v>9198806.7511</v>
      </c>
      <c r="V135" s="40">
        <v>438411917.45310003</v>
      </c>
      <c r="W135" s="45">
        <f t="shared" si="16"/>
        <v>754237615.9066</v>
      </c>
    </row>
    <row r="136" spans="1:23" ht="24.9" customHeight="1">
      <c r="A136" s="151"/>
      <c r="B136" s="153"/>
      <c r="C136" s="36">
        <v>6</v>
      </c>
      <c r="D136" s="40" t="s">
        <v>386</v>
      </c>
      <c r="E136" s="40">
        <v>221817079.77599999</v>
      </c>
      <c r="F136" s="40">
        <f t="shared" si="30"/>
        <v>-6066891.2400000002</v>
      </c>
      <c r="G136" s="40">
        <v>6654512.3932999996</v>
      </c>
      <c r="H136" s="40">
        <f t="shared" si="28"/>
        <v>3327256.1966499998</v>
      </c>
      <c r="I136" s="40">
        <f t="shared" si="31"/>
        <v>3327256.1966499998</v>
      </c>
      <c r="J136" s="40">
        <v>66434977.151199996</v>
      </c>
      <c r="K136" s="45">
        <f t="shared" ref="K136:K199" si="32">E136+F136+G136-H136+J136</f>
        <v>285512421.88384998</v>
      </c>
      <c r="L136" s="44"/>
      <c r="M136" s="153"/>
      <c r="N136" s="46">
        <v>14</v>
      </c>
      <c r="O136" s="153"/>
      <c r="P136" s="40" t="s">
        <v>387</v>
      </c>
      <c r="Q136" s="40">
        <v>165061996.8432</v>
      </c>
      <c r="R136" s="40">
        <v>0</v>
      </c>
      <c r="S136" s="40">
        <v>4951859.9052999998</v>
      </c>
      <c r="T136" s="40">
        <v>0</v>
      </c>
      <c r="U136" s="40">
        <f t="shared" si="23"/>
        <v>4951859.9052999998</v>
      </c>
      <c r="V136" s="40">
        <v>377815337.65130001</v>
      </c>
      <c r="W136" s="45">
        <f t="shared" ref="W136:W199" si="33">Q136+R136+S136-T136+V136</f>
        <v>547829194.39980006</v>
      </c>
    </row>
    <row r="137" spans="1:23" ht="24.9" customHeight="1">
      <c r="A137" s="151"/>
      <c r="B137" s="153"/>
      <c r="C137" s="36">
        <v>7</v>
      </c>
      <c r="D137" s="40" t="s">
        <v>388</v>
      </c>
      <c r="E137" s="40">
        <v>210414206.4517</v>
      </c>
      <c r="F137" s="40">
        <f t="shared" si="30"/>
        <v>-6066891.2400000002</v>
      </c>
      <c r="G137" s="40">
        <v>6312426.1935000001</v>
      </c>
      <c r="H137" s="40">
        <f t="shared" si="28"/>
        <v>3156213.09675</v>
      </c>
      <c r="I137" s="40">
        <f t="shared" si="31"/>
        <v>3156213.09675</v>
      </c>
      <c r="J137" s="40">
        <v>62720154.671400003</v>
      </c>
      <c r="K137" s="45">
        <f t="shared" si="32"/>
        <v>270223682.97984999</v>
      </c>
      <c r="L137" s="44"/>
      <c r="M137" s="153"/>
      <c r="N137" s="46">
        <v>15</v>
      </c>
      <c r="O137" s="153"/>
      <c r="P137" s="40" t="s">
        <v>389</v>
      </c>
      <c r="Q137" s="40">
        <v>199173808.5079</v>
      </c>
      <c r="R137" s="40">
        <v>0</v>
      </c>
      <c r="S137" s="40">
        <v>5975214.2551999995</v>
      </c>
      <c r="T137" s="40">
        <v>0</v>
      </c>
      <c r="U137" s="40">
        <f t="shared" si="23"/>
        <v>5975214.2551999995</v>
      </c>
      <c r="V137" s="40">
        <v>392206154.85879999</v>
      </c>
      <c r="W137" s="45">
        <f t="shared" si="33"/>
        <v>597355177.62189996</v>
      </c>
    </row>
    <row r="138" spans="1:23" ht="24.9" customHeight="1">
      <c r="A138" s="151"/>
      <c r="B138" s="153"/>
      <c r="C138" s="36">
        <v>8</v>
      </c>
      <c r="D138" s="40" t="s">
        <v>390</v>
      </c>
      <c r="E138" s="40">
        <v>180819974.75740001</v>
      </c>
      <c r="F138" s="40">
        <f t="shared" si="30"/>
        <v>-6066891.2400000002</v>
      </c>
      <c r="G138" s="40">
        <v>5424599.2427000003</v>
      </c>
      <c r="H138" s="40">
        <f t="shared" si="28"/>
        <v>2712299.6213500001</v>
      </c>
      <c r="I138" s="40">
        <f t="shared" si="31"/>
        <v>2712299.6213500001</v>
      </c>
      <c r="J138" s="40">
        <v>57204536.3772</v>
      </c>
      <c r="K138" s="45">
        <f t="shared" si="32"/>
        <v>234669919.51595002</v>
      </c>
      <c r="L138" s="44"/>
      <c r="M138" s="153"/>
      <c r="N138" s="46">
        <v>16</v>
      </c>
      <c r="O138" s="153"/>
      <c r="P138" s="40" t="s">
        <v>391</v>
      </c>
      <c r="Q138" s="40">
        <v>298178155.23869997</v>
      </c>
      <c r="R138" s="40">
        <v>0</v>
      </c>
      <c r="S138" s="40">
        <v>8945344.6571999993</v>
      </c>
      <c r="T138" s="40">
        <v>0</v>
      </c>
      <c r="U138" s="40">
        <f t="shared" si="23"/>
        <v>8945344.6571999993</v>
      </c>
      <c r="V138" s="40">
        <v>434108081.90689999</v>
      </c>
      <c r="W138" s="45">
        <f t="shared" si="33"/>
        <v>741231581.80279994</v>
      </c>
    </row>
    <row r="139" spans="1:23" ht="24.9" customHeight="1">
      <c r="A139" s="151"/>
      <c r="B139" s="153"/>
      <c r="C139" s="36">
        <v>9</v>
      </c>
      <c r="D139" s="40" t="s">
        <v>392</v>
      </c>
      <c r="E139" s="40">
        <v>228422264.93959999</v>
      </c>
      <c r="F139" s="40">
        <f t="shared" si="30"/>
        <v>-6066891.2400000002</v>
      </c>
      <c r="G139" s="40">
        <v>6852667.9482000005</v>
      </c>
      <c r="H139" s="40">
        <f t="shared" si="28"/>
        <v>3426333.9741000002</v>
      </c>
      <c r="I139" s="40">
        <f t="shared" si="31"/>
        <v>3426333.9741000002</v>
      </c>
      <c r="J139" s="40">
        <v>70836494.241600007</v>
      </c>
      <c r="K139" s="45">
        <f t="shared" si="32"/>
        <v>296618201.91530001</v>
      </c>
      <c r="L139" s="44"/>
      <c r="M139" s="153"/>
      <c r="N139" s="46">
        <v>17</v>
      </c>
      <c r="O139" s="153"/>
      <c r="P139" s="40" t="s">
        <v>393</v>
      </c>
      <c r="Q139" s="40">
        <v>289327930.60089999</v>
      </c>
      <c r="R139" s="40">
        <v>0</v>
      </c>
      <c r="S139" s="40">
        <v>8679837.9179999996</v>
      </c>
      <c r="T139" s="40">
        <v>0</v>
      </c>
      <c r="U139" s="40">
        <f t="shared" si="23"/>
        <v>8679837.9179999996</v>
      </c>
      <c r="V139" s="40">
        <v>429464819.60720003</v>
      </c>
      <c r="W139" s="45">
        <f t="shared" si="33"/>
        <v>727472588.12610006</v>
      </c>
    </row>
    <row r="140" spans="1:23" ht="24.9" customHeight="1">
      <c r="A140" s="151"/>
      <c r="B140" s="153"/>
      <c r="C140" s="36">
        <v>10</v>
      </c>
      <c r="D140" s="40" t="s">
        <v>394</v>
      </c>
      <c r="E140" s="40">
        <v>216113357.62</v>
      </c>
      <c r="F140" s="40">
        <f t="shared" si="30"/>
        <v>-6066891.2400000002</v>
      </c>
      <c r="G140" s="40">
        <v>6483400.7286</v>
      </c>
      <c r="H140" s="40">
        <f t="shared" si="28"/>
        <v>3241700.3643</v>
      </c>
      <c r="I140" s="40">
        <f t="shared" si="31"/>
        <v>3241700.3643</v>
      </c>
      <c r="J140" s="40">
        <v>70963280.898900002</v>
      </c>
      <c r="K140" s="45">
        <f t="shared" si="32"/>
        <v>284251447.64319998</v>
      </c>
      <c r="L140" s="44"/>
      <c r="M140" s="153"/>
      <c r="N140" s="46">
        <v>18</v>
      </c>
      <c r="O140" s="153"/>
      <c r="P140" s="40" t="s">
        <v>395</v>
      </c>
      <c r="Q140" s="40">
        <v>295428013.11739999</v>
      </c>
      <c r="R140" s="40">
        <v>0</v>
      </c>
      <c r="S140" s="40">
        <v>8862840.3935000002</v>
      </c>
      <c r="T140" s="40">
        <v>0</v>
      </c>
      <c r="U140" s="40">
        <f t="shared" si="23"/>
        <v>8862840.3935000002</v>
      </c>
      <c r="V140" s="40">
        <v>432579731.21579999</v>
      </c>
      <c r="W140" s="45">
        <f t="shared" si="33"/>
        <v>736870584.72670007</v>
      </c>
    </row>
    <row r="141" spans="1:23" ht="24.9" customHeight="1">
      <c r="A141" s="151"/>
      <c r="B141" s="153"/>
      <c r="C141" s="36">
        <v>11</v>
      </c>
      <c r="D141" s="40" t="s">
        <v>396</v>
      </c>
      <c r="E141" s="40">
        <v>247435371.15079999</v>
      </c>
      <c r="F141" s="40">
        <f t="shared" si="30"/>
        <v>-6066891.2400000002</v>
      </c>
      <c r="G141" s="40">
        <v>7423061.1344999997</v>
      </c>
      <c r="H141" s="40">
        <f t="shared" si="28"/>
        <v>3711530.5672499998</v>
      </c>
      <c r="I141" s="40">
        <f t="shared" si="31"/>
        <v>3711530.5672499998</v>
      </c>
      <c r="J141" s="40">
        <v>74023304.782700002</v>
      </c>
      <c r="K141" s="45">
        <f t="shared" si="32"/>
        <v>319103315.26074994</v>
      </c>
      <c r="L141" s="44"/>
      <c r="M141" s="153"/>
      <c r="N141" s="46">
        <v>19</v>
      </c>
      <c r="O141" s="153"/>
      <c r="P141" s="40" t="s">
        <v>397</v>
      </c>
      <c r="Q141" s="40">
        <v>228485944.255</v>
      </c>
      <c r="R141" s="40">
        <v>0</v>
      </c>
      <c r="S141" s="40">
        <v>6854578.3277000003</v>
      </c>
      <c r="T141" s="40">
        <v>0</v>
      </c>
      <c r="U141" s="40">
        <f t="shared" si="23"/>
        <v>6854578.3277000003</v>
      </c>
      <c r="V141" s="40">
        <v>403496413.66430002</v>
      </c>
      <c r="W141" s="45">
        <f t="shared" si="33"/>
        <v>638836936.24699998</v>
      </c>
    </row>
    <row r="142" spans="1:23" ht="24.9" customHeight="1">
      <c r="A142" s="151"/>
      <c r="B142" s="153"/>
      <c r="C142" s="36">
        <v>12</v>
      </c>
      <c r="D142" s="40" t="s">
        <v>398</v>
      </c>
      <c r="E142" s="40">
        <v>190015790.85330001</v>
      </c>
      <c r="F142" s="40">
        <f t="shared" si="30"/>
        <v>-6066891.2400000002</v>
      </c>
      <c r="G142" s="40">
        <v>5700473.7255999995</v>
      </c>
      <c r="H142" s="40">
        <f t="shared" si="28"/>
        <v>2850236.8627999998</v>
      </c>
      <c r="I142" s="40">
        <f t="shared" si="31"/>
        <v>2850236.8627999998</v>
      </c>
      <c r="J142" s="40">
        <v>63439941.396899998</v>
      </c>
      <c r="K142" s="45">
        <f t="shared" si="32"/>
        <v>250239077.873</v>
      </c>
      <c r="L142" s="44"/>
      <c r="M142" s="154"/>
      <c r="N142" s="46">
        <v>20</v>
      </c>
      <c r="O142" s="154"/>
      <c r="P142" s="40" t="s">
        <v>399</v>
      </c>
      <c r="Q142" s="40">
        <v>261358846.96650001</v>
      </c>
      <c r="R142" s="40">
        <v>0</v>
      </c>
      <c r="S142" s="40">
        <v>7840765.409</v>
      </c>
      <c r="T142" s="40">
        <v>0</v>
      </c>
      <c r="U142" s="40">
        <f t="shared" si="23"/>
        <v>7840765.409</v>
      </c>
      <c r="V142" s="40">
        <v>416959455.55229998</v>
      </c>
      <c r="W142" s="45">
        <f t="shared" si="33"/>
        <v>686159067.92779994</v>
      </c>
    </row>
    <row r="143" spans="1:23" ht="24.9" customHeight="1">
      <c r="A143" s="151"/>
      <c r="B143" s="153"/>
      <c r="C143" s="36">
        <v>13</v>
      </c>
      <c r="D143" s="40" t="s">
        <v>400</v>
      </c>
      <c r="E143" s="40">
        <v>228253626.67989999</v>
      </c>
      <c r="F143" s="40">
        <f t="shared" si="30"/>
        <v>-6066891.2400000002</v>
      </c>
      <c r="G143" s="40">
        <v>6847608.8004000001</v>
      </c>
      <c r="H143" s="40">
        <f t="shared" si="28"/>
        <v>3423804.4002</v>
      </c>
      <c r="I143" s="40">
        <f t="shared" si="31"/>
        <v>3423804.4002</v>
      </c>
      <c r="J143" s="40">
        <v>80495670.609500006</v>
      </c>
      <c r="K143" s="45">
        <f t="shared" si="32"/>
        <v>306106210.44959998</v>
      </c>
      <c r="L143" s="44"/>
      <c r="M143" s="36"/>
      <c r="N143" s="147" t="s">
        <v>401</v>
      </c>
      <c r="O143" s="150"/>
      <c r="P143" s="41"/>
      <c r="Q143" s="41">
        <f t="shared" ref="Q143:S143" si="34">SUM(Q123:Q142)</f>
        <v>4935902415.9963007</v>
      </c>
      <c r="R143" s="41">
        <f t="shared" si="34"/>
        <v>0</v>
      </c>
      <c r="S143" s="41">
        <f t="shared" si="34"/>
        <v>148077072.4799</v>
      </c>
      <c r="T143" s="41">
        <f t="shared" ref="T143:W143" si="35">SUM(T123:T142)</f>
        <v>0</v>
      </c>
      <c r="U143" s="41">
        <f t="shared" si="35"/>
        <v>148077072.4799</v>
      </c>
      <c r="V143" s="41">
        <f t="shared" si="35"/>
        <v>8197522165.5840015</v>
      </c>
      <c r="W143" s="41">
        <f t="shared" si="35"/>
        <v>13281501654.060198</v>
      </c>
    </row>
    <row r="144" spans="1:23" ht="24.9" customHeight="1">
      <c r="A144" s="151"/>
      <c r="B144" s="153"/>
      <c r="C144" s="36">
        <v>14</v>
      </c>
      <c r="D144" s="40" t="s">
        <v>402</v>
      </c>
      <c r="E144" s="40">
        <v>168611867.36199999</v>
      </c>
      <c r="F144" s="40">
        <f t="shared" si="30"/>
        <v>-6066891.2400000002</v>
      </c>
      <c r="G144" s="40">
        <v>5058356.0208999999</v>
      </c>
      <c r="H144" s="40">
        <f t="shared" si="28"/>
        <v>2529178.0104499999</v>
      </c>
      <c r="I144" s="40">
        <f t="shared" si="31"/>
        <v>2529178.0104499999</v>
      </c>
      <c r="J144" s="40">
        <v>54109293.977600001</v>
      </c>
      <c r="K144" s="45">
        <f t="shared" si="32"/>
        <v>219183448.11004999</v>
      </c>
      <c r="L144" s="44"/>
      <c r="M144" s="152">
        <v>25</v>
      </c>
      <c r="N144" s="46">
        <v>1</v>
      </c>
      <c r="O144" s="152" t="s">
        <v>107</v>
      </c>
      <c r="P144" s="40" t="s">
        <v>403</v>
      </c>
      <c r="Q144" s="40">
        <v>171007431.05720001</v>
      </c>
      <c r="R144" s="40">
        <f t="shared" ref="R144:R156" si="36">-3018317.48</f>
        <v>-3018317.48</v>
      </c>
      <c r="S144" s="40">
        <v>5130222.9316999996</v>
      </c>
      <c r="T144" s="40"/>
      <c r="U144" s="40">
        <f t="shared" si="23"/>
        <v>5130222.9316999996</v>
      </c>
      <c r="V144" s="40">
        <v>57922088.531499997</v>
      </c>
      <c r="W144" s="45">
        <f t="shared" si="33"/>
        <v>231041425.04040003</v>
      </c>
    </row>
    <row r="145" spans="1:23" ht="24.9" customHeight="1">
      <c r="A145" s="151"/>
      <c r="B145" s="153"/>
      <c r="C145" s="36">
        <v>15</v>
      </c>
      <c r="D145" s="40" t="s">
        <v>404</v>
      </c>
      <c r="E145" s="40">
        <v>177130334.45809999</v>
      </c>
      <c r="F145" s="40">
        <f t="shared" si="30"/>
        <v>-6066891.2400000002</v>
      </c>
      <c r="G145" s="40">
        <v>5313910.0336999996</v>
      </c>
      <c r="H145" s="40">
        <f t="shared" si="28"/>
        <v>2656955.0168499998</v>
      </c>
      <c r="I145" s="40">
        <f t="shared" si="31"/>
        <v>2656955.0168499998</v>
      </c>
      <c r="J145" s="40">
        <v>58076626.571599998</v>
      </c>
      <c r="K145" s="45">
        <f t="shared" si="32"/>
        <v>231797024.80654997</v>
      </c>
      <c r="L145" s="44"/>
      <c r="M145" s="153"/>
      <c r="N145" s="46">
        <v>2</v>
      </c>
      <c r="O145" s="153"/>
      <c r="P145" s="40" t="s">
        <v>405</v>
      </c>
      <c r="Q145" s="40">
        <v>192756251.9359</v>
      </c>
      <c r="R145" s="40">
        <f t="shared" si="36"/>
        <v>-3018317.48</v>
      </c>
      <c r="S145" s="40">
        <v>5782687.5581</v>
      </c>
      <c r="T145" s="40"/>
      <c r="U145" s="40">
        <f t="shared" si="23"/>
        <v>5782687.5581</v>
      </c>
      <c r="V145" s="40">
        <v>57808326.079999998</v>
      </c>
      <c r="W145" s="45">
        <f t="shared" si="33"/>
        <v>253328948.09399998</v>
      </c>
    </row>
    <row r="146" spans="1:23" ht="24.9" customHeight="1">
      <c r="A146" s="151"/>
      <c r="B146" s="153"/>
      <c r="C146" s="36">
        <v>16</v>
      </c>
      <c r="D146" s="40" t="s">
        <v>406</v>
      </c>
      <c r="E146" s="40">
        <v>161564466.60789999</v>
      </c>
      <c r="F146" s="40">
        <f t="shared" si="30"/>
        <v>-6066891.2400000002</v>
      </c>
      <c r="G146" s="40">
        <v>4846933.9982000003</v>
      </c>
      <c r="H146" s="40">
        <f t="shared" si="28"/>
        <v>2423466.9991000001</v>
      </c>
      <c r="I146" s="40">
        <f t="shared" si="31"/>
        <v>2423466.9991000001</v>
      </c>
      <c r="J146" s="40">
        <v>50471420.6325</v>
      </c>
      <c r="K146" s="45">
        <f t="shared" si="32"/>
        <v>208392462.99949998</v>
      </c>
      <c r="L146" s="44"/>
      <c r="M146" s="153"/>
      <c r="N146" s="46">
        <v>3</v>
      </c>
      <c r="O146" s="153"/>
      <c r="P146" s="40" t="s">
        <v>407</v>
      </c>
      <c r="Q146" s="40">
        <v>197365291.06959999</v>
      </c>
      <c r="R146" s="40">
        <f t="shared" si="36"/>
        <v>-3018317.48</v>
      </c>
      <c r="S146" s="40">
        <v>5920958.7320999997</v>
      </c>
      <c r="T146" s="40"/>
      <c r="U146" s="40">
        <f t="shared" si="23"/>
        <v>5920958.7320999997</v>
      </c>
      <c r="V146" s="40">
        <v>61401013.404600002</v>
      </c>
      <c r="W146" s="45">
        <f t="shared" si="33"/>
        <v>261668945.7263</v>
      </c>
    </row>
    <row r="147" spans="1:23" ht="24.9" customHeight="1">
      <c r="A147" s="151"/>
      <c r="B147" s="153"/>
      <c r="C147" s="36">
        <v>17</v>
      </c>
      <c r="D147" s="40" t="s">
        <v>408</v>
      </c>
      <c r="E147" s="40">
        <v>204428406.2103</v>
      </c>
      <c r="F147" s="40">
        <f t="shared" si="30"/>
        <v>-6066891.2400000002</v>
      </c>
      <c r="G147" s="40">
        <v>6132852.1863000002</v>
      </c>
      <c r="H147" s="40">
        <f t="shared" si="28"/>
        <v>3066426.0931500001</v>
      </c>
      <c r="I147" s="40">
        <f t="shared" si="31"/>
        <v>3066426.0931500001</v>
      </c>
      <c r="J147" s="40">
        <v>63595833.167400002</v>
      </c>
      <c r="K147" s="45">
        <f t="shared" si="32"/>
        <v>265023774.23085001</v>
      </c>
      <c r="L147" s="44"/>
      <c r="M147" s="153"/>
      <c r="N147" s="46">
        <v>4</v>
      </c>
      <c r="O147" s="153"/>
      <c r="P147" s="40" t="s">
        <v>409</v>
      </c>
      <c r="Q147" s="40">
        <v>232864147.54300001</v>
      </c>
      <c r="R147" s="40">
        <f t="shared" si="36"/>
        <v>-3018317.48</v>
      </c>
      <c r="S147" s="40">
        <v>6985924.4263000004</v>
      </c>
      <c r="T147" s="40"/>
      <c r="U147" s="40">
        <f t="shared" si="23"/>
        <v>6985924.4263000004</v>
      </c>
      <c r="V147" s="40">
        <v>70155140.363199994</v>
      </c>
      <c r="W147" s="45">
        <f t="shared" si="33"/>
        <v>306986894.85250002</v>
      </c>
    </row>
    <row r="148" spans="1:23" ht="24.9" customHeight="1">
      <c r="A148" s="151"/>
      <c r="B148" s="153"/>
      <c r="C148" s="36">
        <v>18</v>
      </c>
      <c r="D148" s="40" t="s">
        <v>410</v>
      </c>
      <c r="E148" s="40">
        <v>191570189.72420001</v>
      </c>
      <c r="F148" s="40">
        <f t="shared" si="30"/>
        <v>-6066891.2400000002</v>
      </c>
      <c r="G148" s="40">
        <v>5747105.6917000003</v>
      </c>
      <c r="H148" s="40">
        <f t="shared" si="28"/>
        <v>2873552.8458500002</v>
      </c>
      <c r="I148" s="40">
        <f t="shared" si="31"/>
        <v>2873552.8458500002</v>
      </c>
      <c r="J148" s="40">
        <v>64447855.452699997</v>
      </c>
      <c r="K148" s="45">
        <f t="shared" si="32"/>
        <v>252824706.78275001</v>
      </c>
      <c r="L148" s="44"/>
      <c r="M148" s="153"/>
      <c r="N148" s="46">
        <v>5</v>
      </c>
      <c r="O148" s="153"/>
      <c r="P148" s="40" t="s">
        <v>411</v>
      </c>
      <c r="Q148" s="40">
        <v>166275022.49779999</v>
      </c>
      <c r="R148" s="40">
        <f t="shared" si="36"/>
        <v>-3018317.48</v>
      </c>
      <c r="S148" s="40">
        <v>4988250.6749</v>
      </c>
      <c r="T148" s="40"/>
      <c r="U148" s="40">
        <f t="shared" si="23"/>
        <v>4988250.6749</v>
      </c>
      <c r="V148" s="40">
        <v>53379963.177500002</v>
      </c>
      <c r="W148" s="45">
        <f t="shared" si="33"/>
        <v>221624918.87020001</v>
      </c>
    </row>
    <row r="149" spans="1:23" ht="24.9" customHeight="1">
      <c r="A149" s="151"/>
      <c r="B149" s="153"/>
      <c r="C149" s="36">
        <v>19</v>
      </c>
      <c r="D149" s="40" t="s">
        <v>412</v>
      </c>
      <c r="E149" s="40">
        <v>224363954.9711</v>
      </c>
      <c r="F149" s="40">
        <f t="shared" si="30"/>
        <v>-6066891.2400000002</v>
      </c>
      <c r="G149" s="40">
        <v>6730918.6491</v>
      </c>
      <c r="H149" s="40">
        <f t="shared" si="28"/>
        <v>3365459.32455</v>
      </c>
      <c r="I149" s="40">
        <f t="shared" si="31"/>
        <v>3365459.32455</v>
      </c>
      <c r="J149" s="40">
        <v>75746885.662100002</v>
      </c>
      <c r="K149" s="45">
        <f t="shared" si="32"/>
        <v>297409408.71775001</v>
      </c>
      <c r="L149" s="44"/>
      <c r="M149" s="153"/>
      <c r="N149" s="46">
        <v>6</v>
      </c>
      <c r="O149" s="153"/>
      <c r="P149" s="40" t="s">
        <v>413</v>
      </c>
      <c r="Q149" s="40">
        <v>156354108.6489</v>
      </c>
      <c r="R149" s="40">
        <f t="shared" si="36"/>
        <v>-3018317.48</v>
      </c>
      <c r="S149" s="40">
        <v>4690623.2594999997</v>
      </c>
      <c r="T149" s="40"/>
      <c r="U149" s="40">
        <f t="shared" si="23"/>
        <v>4690623.2594999997</v>
      </c>
      <c r="V149" s="40">
        <v>55162285.883500002</v>
      </c>
      <c r="W149" s="45">
        <f t="shared" si="33"/>
        <v>213188700.31190002</v>
      </c>
    </row>
    <row r="150" spans="1:23" ht="24.9" customHeight="1">
      <c r="A150" s="151"/>
      <c r="B150" s="153"/>
      <c r="C150" s="36">
        <v>20</v>
      </c>
      <c r="D150" s="40" t="s">
        <v>414</v>
      </c>
      <c r="E150" s="40">
        <v>155501665.20030001</v>
      </c>
      <c r="F150" s="40">
        <f t="shared" si="30"/>
        <v>-6066891.2400000002</v>
      </c>
      <c r="G150" s="40">
        <v>4665049.9560000002</v>
      </c>
      <c r="H150" s="40">
        <f t="shared" si="28"/>
        <v>2332524.9780000001</v>
      </c>
      <c r="I150" s="40">
        <f t="shared" si="31"/>
        <v>2332524.9780000001</v>
      </c>
      <c r="J150" s="40">
        <v>51536215.913999997</v>
      </c>
      <c r="K150" s="45">
        <f t="shared" si="32"/>
        <v>203303514.85230002</v>
      </c>
      <c r="L150" s="44"/>
      <c r="M150" s="153"/>
      <c r="N150" s="46">
        <v>7</v>
      </c>
      <c r="O150" s="153"/>
      <c r="P150" s="40" t="s">
        <v>415</v>
      </c>
      <c r="Q150" s="40">
        <v>178648612.44600001</v>
      </c>
      <c r="R150" s="40">
        <f t="shared" si="36"/>
        <v>-3018317.48</v>
      </c>
      <c r="S150" s="40">
        <v>5359458.3733999999</v>
      </c>
      <c r="T150" s="40"/>
      <c r="U150" s="40">
        <f t="shared" si="23"/>
        <v>5359458.3733999999</v>
      </c>
      <c r="V150" s="40">
        <v>57432883.4102</v>
      </c>
      <c r="W150" s="45">
        <f t="shared" si="33"/>
        <v>238422636.74960002</v>
      </c>
    </row>
    <row r="151" spans="1:23" ht="24.9" customHeight="1">
      <c r="A151" s="151"/>
      <c r="B151" s="153"/>
      <c r="C151" s="36">
        <v>21</v>
      </c>
      <c r="D151" s="40" t="s">
        <v>416</v>
      </c>
      <c r="E151" s="40">
        <v>212621055.81690001</v>
      </c>
      <c r="F151" s="40">
        <f t="shared" si="30"/>
        <v>-6066891.2400000002</v>
      </c>
      <c r="G151" s="40">
        <v>6378631.6744999997</v>
      </c>
      <c r="H151" s="40">
        <f t="shared" si="28"/>
        <v>3189315.8372499999</v>
      </c>
      <c r="I151" s="40">
        <f t="shared" si="31"/>
        <v>3189315.8372499999</v>
      </c>
      <c r="J151" s="40">
        <v>69801468.573599994</v>
      </c>
      <c r="K151" s="45">
        <f t="shared" si="32"/>
        <v>279544948.98774999</v>
      </c>
      <c r="L151" s="44"/>
      <c r="M151" s="153"/>
      <c r="N151" s="46">
        <v>8</v>
      </c>
      <c r="O151" s="153"/>
      <c r="P151" s="40" t="s">
        <v>417</v>
      </c>
      <c r="Q151" s="40">
        <v>279541998.57010001</v>
      </c>
      <c r="R151" s="40">
        <f t="shared" si="36"/>
        <v>-3018317.48</v>
      </c>
      <c r="S151" s="40">
        <v>8386259.9571000002</v>
      </c>
      <c r="T151" s="40"/>
      <c r="U151" s="40">
        <f t="shared" si="23"/>
        <v>8386259.9571000002</v>
      </c>
      <c r="V151" s="40">
        <v>86798879.389599994</v>
      </c>
      <c r="W151" s="45">
        <f t="shared" si="33"/>
        <v>371708820.43679994</v>
      </c>
    </row>
    <row r="152" spans="1:23" ht="24.9" customHeight="1">
      <c r="A152" s="151"/>
      <c r="B152" s="153"/>
      <c r="C152" s="36">
        <v>22</v>
      </c>
      <c r="D152" s="40" t="s">
        <v>418</v>
      </c>
      <c r="E152" s="40">
        <v>207032977.1886</v>
      </c>
      <c r="F152" s="40">
        <f t="shared" si="30"/>
        <v>-6066891.2400000002</v>
      </c>
      <c r="G152" s="40">
        <v>6210989.3157000002</v>
      </c>
      <c r="H152" s="40">
        <f t="shared" si="28"/>
        <v>3105494.6578500001</v>
      </c>
      <c r="I152" s="40">
        <f t="shared" si="31"/>
        <v>3105494.6578500001</v>
      </c>
      <c r="J152" s="40">
        <v>66001988.755400002</v>
      </c>
      <c r="K152" s="45">
        <f t="shared" si="32"/>
        <v>270073569.36185002</v>
      </c>
      <c r="L152" s="44"/>
      <c r="M152" s="153"/>
      <c r="N152" s="46">
        <v>9</v>
      </c>
      <c r="O152" s="153"/>
      <c r="P152" s="40" t="s">
        <v>419</v>
      </c>
      <c r="Q152" s="40">
        <v>259064023.31110001</v>
      </c>
      <c r="R152" s="40">
        <f t="shared" si="36"/>
        <v>-3018317.48</v>
      </c>
      <c r="S152" s="40">
        <v>7771920.6993000004</v>
      </c>
      <c r="T152" s="40"/>
      <c r="U152" s="40">
        <f t="shared" si="23"/>
        <v>7771920.6993000004</v>
      </c>
      <c r="V152" s="40">
        <v>68076317.623199999</v>
      </c>
      <c r="W152" s="45">
        <f t="shared" si="33"/>
        <v>331893944.15359998</v>
      </c>
    </row>
    <row r="153" spans="1:23" ht="24.9" customHeight="1">
      <c r="A153" s="151"/>
      <c r="B153" s="154"/>
      <c r="C153" s="36">
        <v>23</v>
      </c>
      <c r="D153" s="40" t="s">
        <v>420</v>
      </c>
      <c r="E153" s="40">
        <v>219284556.0201</v>
      </c>
      <c r="F153" s="40">
        <f t="shared" si="30"/>
        <v>-6066891.2400000002</v>
      </c>
      <c r="G153" s="40">
        <v>6578536.6805999996</v>
      </c>
      <c r="H153" s="40">
        <f t="shared" si="28"/>
        <v>3289268.3402999998</v>
      </c>
      <c r="I153" s="40">
        <f t="shared" si="31"/>
        <v>3289268.3402999998</v>
      </c>
      <c r="J153" s="40">
        <v>71554420.3662</v>
      </c>
      <c r="K153" s="45">
        <f t="shared" si="32"/>
        <v>288061353.48659998</v>
      </c>
      <c r="L153" s="44"/>
      <c r="M153" s="153"/>
      <c r="N153" s="46">
        <v>10</v>
      </c>
      <c r="O153" s="153"/>
      <c r="P153" s="52" t="s">
        <v>421</v>
      </c>
      <c r="Q153" s="40">
        <v>198180033.56959999</v>
      </c>
      <c r="R153" s="40">
        <f t="shared" si="36"/>
        <v>-3018317.48</v>
      </c>
      <c r="S153" s="40">
        <v>5945401.0071</v>
      </c>
      <c r="T153" s="40"/>
      <c r="U153" s="40">
        <f t="shared" si="23"/>
        <v>5945401.0071</v>
      </c>
      <c r="V153" s="40">
        <v>62666487.776900001</v>
      </c>
      <c r="W153" s="45">
        <f t="shared" si="33"/>
        <v>263773604.87359998</v>
      </c>
    </row>
    <row r="154" spans="1:23" ht="24.9" customHeight="1">
      <c r="A154" s="36"/>
      <c r="B154" s="146" t="s">
        <v>422</v>
      </c>
      <c r="C154" s="147"/>
      <c r="D154" s="41"/>
      <c r="E154" s="41">
        <f>SUM(E131:E153)</f>
        <v>4691325201.3814001</v>
      </c>
      <c r="F154" s="41">
        <f t="shared" ref="F154:K154" si="37">SUM(F131:F153)</f>
        <v>-139538498.51999995</v>
      </c>
      <c r="G154" s="41">
        <f t="shared" si="37"/>
        <v>140739756.0413</v>
      </c>
      <c r="H154" s="41">
        <f t="shared" si="37"/>
        <v>70369878.020649999</v>
      </c>
      <c r="I154" s="41">
        <f t="shared" si="37"/>
        <v>70369878.020649999</v>
      </c>
      <c r="J154" s="41">
        <f t="shared" si="37"/>
        <v>1503081327.5083001</v>
      </c>
      <c r="K154" s="41">
        <f t="shared" si="37"/>
        <v>6125237908.3903484</v>
      </c>
      <c r="L154" s="44"/>
      <c r="M154" s="153"/>
      <c r="N154" s="46">
        <v>11</v>
      </c>
      <c r="O154" s="153"/>
      <c r="P154" s="40" t="s">
        <v>402</v>
      </c>
      <c r="Q154" s="40">
        <v>189696589.76249999</v>
      </c>
      <c r="R154" s="40">
        <f t="shared" si="36"/>
        <v>-3018317.48</v>
      </c>
      <c r="S154" s="40">
        <v>5690897.6929000001</v>
      </c>
      <c r="T154" s="40"/>
      <c r="U154" s="40">
        <f t="shared" si="23"/>
        <v>5690897.6929000001</v>
      </c>
      <c r="V154" s="40">
        <v>62632598.261600003</v>
      </c>
      <c r="W154" s="45">
        <f t="shared" si="33"/>
        <v>255001768.23699999</v>
      </c>
    </row>
    <row r="155" spans="1:23" ht="24.9" customHeight="1">
      <c r="A155" s="151">
        <v>8</v>
      </c>
      <c r="B155" s="152" t="s">
        <v>423</v>
      </c>
      <c r="C155" s="36">
        <v>1</v>
      </c>
      <c r="D155" s="40" t="s">
        <v>424</v>
      </c>
      <c r="E155" s="40">
        <v>184155111.87709999</v>
      </c>
      <c r="F155" s="40">
        <v>0</v>
      </c>
      <c r="G155" s="40">
        <v>5524653.3563000001</v>
      </c>
      <c r="H155" s="40">
        <v>0</v>
      </c>
      <c r="I155" s="40">
        <f t="shared" si="31"/>
        <v>5524653.3563000001</v>
      </c>
      <c r="J155" s="40">
        <v>55173126.108000003</v>
      </c>
      <c r="K155" s="45">
        <f t="shared" si="32"/>
        <v>244852891.3414</v>
      </c>
      <c r="L155" s="44"/>
      <c r="M155" s="153"/>
      <c r="N155" s="46">
        <v>12</v>
      </c>
      <c r="O155" s="153"/>
      <c r="P155" s="40" t="s">
        <v>425</v>
      </c>
      <c r="Q155" s="40">
        <v>201539010.98390001</v>
      </c>
      <c r="R155" s="40">
        <f t="shared" si="36"/>
        <v>-3018317.48</v>
      </c>
      <c r="S155" s="40">
        <v>6046170.3295</v>
      </c>
      <c r="T155" s="40"/>
      <c r="U155" s="40">
        <f t="shared" si="23"/>
        <v>6046170.3295</v>
      </c>
      <c r="V155" s="40">
        <v>58672575.1708</v>
      </c>
      <c r="W155" s="45">
        <f t="shared" si="33"/>
        <v>263239439.00420001</v>
      </c>
    </row>
    <row r="156" spans="1:23" ht="24.9" customHeight="1">
      <c r="A156" s="151"/>
      <c r="B156" s="153"/>
      <c r="C156" s="36">
        <v>2</v>
      </c>
      <c r="D156" s="40" t="s">
        <v>426</v>
      </c>
      <c r="E156" s="40">
        <v>178071265.65669999</v>
      </c>
      <c r="F156" s="40">
        <v>0</v>
      </c>
      <c r="G156" s="40">
        <v>5342137.9697000002</v>
      </c>
      <c r="H156" s="40">
        <v>0</v>
      </c>
      <c r="I156" s="40">
        <f t="shared" si="31"/>
        <v>5342137.9697000002</v>
      </c>
      <c r="J156" s="40">
        <v>60211500.286300004</v>
      </c>
      <c r="K156" s="45">
        <f t="shared" si="32"/>
        <v>243624903.9127</v>
      </c>
      <c r="L156" s="44"/>
      <c r="M156" s="154"/>
      <c r="N156" s="46">
        <v>13</v>
      </c>
      <c r="O156" s="154"/>
      <c r="P156" s="40" t="s">
        <v>427</v>
      </c>
      <c r="Q156" s="40">
        <v>161788507.93520001</v>
      </c>
      <c r="R156" s="40">
        <f t="shared" si="36"/>
        <v>-3018317.48</v>
      </c>
      <c r="S156" s="40">
        <v>4853655.2380999997</v>
      </c>
      <c r="T156" s="40"/>
      <c r="U156" s="40">
        <f t="shared" si="23"/>
        <v>4853655.2380999997</v>
      </c>
      <c r="V156" s="40">
        <v>52534851.6954</v>
      </c>
      <c r="W156" s="45">
        <f t="shared" si="33"/>
        <v>216158697.38870001</v>
      </c>
    </row>
    <row r="157" spans="1:23" ht="24.9" customHeight="1">
      <c r="A157" s="151"/>
      <c r="B157" s="153"/>
      <c r="C157" s="36">
        <v>3</v>
      </c>
      <c r="D157" s="40" t="s">
        <v>428</v>
      </c>
      <c r="E157" s="40">
        <v>249826271.44819999</v>
      </c>
      <c r="F157" s="40">
        <v>0</v>
      </c>
      <c r="G157" s="40">
        <v>7494788.1434000004</v>
      </c>
      <c r="H157" s="40">
        <v>0</v>
      </c>
      <c r="I157" s="40">
        <f t="shared" si="31"/>
        <v>7494788.1434000004</v>
      </c>
      <c r="J157" s="40">
        <v>77740353.712899998</v>
      </c>
      <c r="K157" s="45">
        <f t="shared" si="32"/>
        <v>335061413.30449998</v>
      </c>
      <c r="L157" s="44"/>
      <c r="M157" s="36"/>
      <c r="N157" s="147" t="s">
        <v>429</v>
      </c>
      <c r="O157" s="148"/>
      <c r="P157" s="41"/>
      <c r="Q157" s="41">
        <f t="shared" ref="Q157" si="38">SUM(Q144:Q156)</f>
        <v>2585081029.3308001</v>
      </c>
      <c r="R157" s="41">
        <f t="shared" ref="R157" si="39">SUM(R136:R156)</f>
        <v>-39238127.239999995</v>
      </c>
      <c r="S157" s="41">
        <f>SUM(S144:S156)</f>
        <v>77552430.879999995</v>
      </c>
      <c r="T157" s="41">
        <f t="shared" ref="T157:W157" si="40">SUM(T144:T156)</f>
        <v>0</v>
      </c>
      <c r="U157" s="41">
        <f t="shared" si="23"/>
        <v>77552430.879999995</v>
      </c>
      <c r="V157" s="41">
        <f t="shared" si="40"/>
        <v>804643410.76800001</v>
      </c>
      <c r="W157" s="41">
        <f t="shared" si="40"/>
        <v>3428038743.7388</v>
      </c>
    </row>
    <row r="158" spans="1:23" ht="24.9" customHeight="1">
      <c r="A158" s="151"/>
      <c r="B158" s="153"/>
      <c r="C158" s="36">
        <v>4</v>
      </c>
      <c r="D158" s="40" t="s">
        <v>430</v>
      </c>
      <c r="E158" s="40">
        <v>143907486.33939999</v>
      </c>
      <c r="F158" s="40">
        <v>0</v>
      </c>
      <c r="G158" s="40">
        <v>4317224.5902000004</v>
      </c>
      <c r="H158" s="40">
        <v>0</v>
      </c>
      <c r="I158" s="40">
        <f t="shared" si="31"/>
        <v>4317224.5902000004</v>
      </c>
      <c r="J158" s="40">
        <v>52355379.033799998</v>
      </c>
      <c r="K158" s="45">
        <f t="shared" si="32"/>
        <v>200580089.96340001</v>
      </c>
      <c r="L158" s="44"/>
      <c r="M158" s="152">
        <v>26</v>
      </c>
      <c r="N158" s="46">
        <v>1</v>
      </c>
      <c r="O158" s="152" t="s">
        <v>108</v>
      </c>
      <c r="P158" s="40" t="s">
        <v>431</v>
      </c>
      <c r="Q158" s="40">
        <v>177898488.2173</v>
      </c>
      <c r="R158" s="40">
        <v>0</v>
      </c>
      <c r="S158" s="40">
        <v>5336954.6464999998</v>
      </c>
      <c r="T158" s="40">
        <f t="shared" ref="T158:T182" si="41">S158/2</f>
        <v>2668477.3232499999</v>
      </c>
      <c r="U158" s="40">
        <f t="shared" si="23"/>
        <v>2668477.3232499999</v>
      </c>
      <c r="V158" s="40">
        <v>59838898.569200002</v>
      </c>
      <c r="W158" s="45">
        <f t="shared" si="33"/>
        <v>240405864.10975</v>
      </c>
    </row>
    <row r="159" spans="1:23" ht="24.9" customHeight="1">
      <c r="A159" s="151"/>
      <c r="B159" s="153"/>
      <c r="C159" s="36">
        <v>5</v>
      </c>
      <c r="D159" s="40" t="s">
        <v>432</v>
      </c>
      <c r="E159" s="40">
        <v>199179652.63049999</v>
      </c>
      <c r="F159" s="40">
        <v>0</v>
      </c>
      <c r="G159" s="40">
        <v>5975389.5789000001</v>
      </c>
      <c r="H159" s="40">
        <v>0</v>
      </c>
      <c r="I159" s="40">
        <f t="shared" si="31"/>
        <v>5975389.5789000001</v>
      </c>
      <c r="J159" s="40">
        <v>65259177.468900003</v>
      </c>
      <c r="K159" s="45">
        <f t="shared" si="32"/>
        <v>270414219.67830002</v>
      </c>
      <c r="L159" s="44"/>
      <c r="M159" s="153"/>
      <c r="N159" s="46">
        <v>2</v>
      </c>
      <c r="O159" s="153"/>
      <c r="P159" s="40" t="s">
        <v>433</v>
      </c>
      <c r="Q159" s="40">
        <v>152737981.86829999</v>
      </c>
      <c r="R159" s="40">
        <v>0</v>
      </c>
      <c r="S159" s="40">
        <v>4582139.4560000002</v>
      </c>
      <c r="T159" s="40">
        <f t="shared" si="41"/>
        <v>2291069.7280000001</v>
      </c>
      <c r="U159" s="40">
        <f t="shared" si="23"/>
        <v>2291069.7280000001</v>
      </c>
      <c r="V159" s="40">
        <v>49805741.4322</v>
      </c>
      <c r="W159" s="45">
        <f t="shared" si="33"/>
        <v>204834793.02850002</v>
      </c>
    </row>
    <row r="160" spans="1:23" ht="24.9" customHeight="1">
      <c r="A160" s="151"/>
      <c r="B160" s="153"/>
      <c r="C160" s="36">
        <v>6</v>
      </c>
      <c r="D160" s="40" t="s">
        <v>434</v>
      </c>
      <c r="E160" s="40">
        <v>143488110.59200001</v>
      </c>
      <c r="F160" s="40">
        <v>0</v>
      </c>
      <c r="G160" s="40">
        <v>4304643.3178000003</v>
      </c>
      <c r="H160" s="40">
        <v>0</v>
      </c>
      <c r="I160" s="40">
        <f t="shared" si="31"/>
        <v>4304643.3178000003</v>
      </c>
      <c r="J160" s="40">
        <v>50644556.560199998</v>
      </c>
      <c r="K160" s="45">
        <f t="shared" si="32"/>
        <v>198437310.47</v>
      </c>
      <c r="L160" s="44"/>
      <c r="M160" s="153"/>
      <c r="N160" s="46">
        <v>3</v>
      </c>
      <c r="O160" s="153"/>
      <c r="P160" s="40" t="s">
        <v>435</v>
      </c>
      <c r="Q160" s="40">
        <v>174916698.33500001</v>
      </c>
      <c r="R160" s="40">
        <v>0</v>
      </c>
      <c r="S160" s="40">
        <v>5247500.9501</v>
      </c>
      <c r="T160" s="40">
        <f t="shared" si="41"/>
        <v>2623750.47505</v>
      </c>
      <c r="U160" s="40">
        <f t="shared" si="23"/>
        <v>2623750.47505</v>
      </c>
      <c r="V160" s="40">
        <v>67184816.491099998</v>
      </c>
      <c r="W160" s="45">
        <f t="shared" si="33"/>
        <v>244725265.30115002</v>
      </c>
    </row>
    <row r="161" spans="1:23" ht="24.9" customHeight="1">
      <c r="A161" s="151"/>
      <c r="B161" s="153"/>
      <c r="C161" s="36">
        <v>7</v>
      </c>
      <c r="D161" s="40" t="s">
        <v>436</v>
      </c>
      <c r="E161" s="40">
        <v>240532626.22080001</v>
      </c>
      <c r="F161" s="40">
        <v>0</v>
      </c>
      <c r="G161" s="40">
        <v>7215978.7866000002</v>
      </c>
      <c r="H161" s="40">
        <v>0</v>
      </c>
      <c r="I161" s="40">
        <f t="shared" si="31"/>
        <v>7215978.7866000002</v>
      </c>
      <c r="J161" s="40">
        <v>72635263.704400003</v>
      </c>
      <c r="K161" s="45">
        <f t="shared" si="32"/>
        <v>320383868.71179998</v>
      </c>
      <c r="L161" s="44"/>
      <c r="M161" s="153"/>
      <c r="N161" s="46">
        <v>4</v>
      </c>
      <c r="O161" s="153"/>
      <c r="P161" s="40" t="s">
        <v>437</v>
      </c>
      <c r="Q161" s="40">
        <v>284738690.15710002</v>
      </c>
      <c r="R161" s="40">
        <v>0</v>
      </c>
      <c r="S161" s="40">
        <v>8542160.7047000006</v>
      </c>
      <c r="T161" s="40">
        <f t="shared" si="41"/>
        <v>4271080.3523500003</v>
      </c>
      <c r="U161" s="40">
        <f t="shared" si="23"/>
        <v>4271080.3523500003</v>
      </c>
      <c r="V161" s="40">
        <v>65029709.116499998</v>
      </c>
      <c r="W161" s="45">
        <f t="shared" si="33"/>
        <v>354039479.62595004</v>
      </c>
    </row>
    <row r="162" spans="1:23" ht="24.9" customHeight="1">
      <c r="A162" s="151"/>
      <c r="B162" s="153"/>
      <c r="C162" s="36">
        <v>8</v>
      </c>
      <c r="D162" s="40" t="s">
        <v>438</v>
      </c>
      <c r="E162" s="40">
        <v>159176201.74630001</v>
      </c>
      <c r="F162" s="40">
        <v>0</v>
      </c>
      <c r="G162" s="40">
        <v>4775286.0524000004</v>
      </c>
      <c r="H162" s="40">
        <v>0</v>
      </c>
      <c r="I162" s="40">
        <f t="shared" si="31"/>
        <v>4775286.0524000004</v>
      </c>
      <c r="J162" s="40">
        <v>55934510.552299999</v>
      </c>
      <c r="K162" s="45">
        <f t="shared" si="32"/>
        <v>219885998.35100001</v>
      </c>
      <c r="L162" s="44"/>
      <c r="M162" s="153"/>
      <c r="N162" s="46">
        <v>5</v>
      </c>
      <c r="O162" s="153"/>
      <c r="P162" s="40" t="s">
        <v>439</v>
      </c>
      <c r="Q162" s="40">
        <v>170916022.4364</v>
      </c>
      <c r="R162" s="40">
        <v>0</v>
      </c>
      <c r="S162" s="40">
        <v>5127480.6731000002</v>
      </c>
      <c r="T162" s="40">
        <f t="shared" si="41"/>
        <v>2563740.3365500001</v>
      </c>
      <c r="U162" s="40">
        <f t="shared" si="23"/>
        <v>2563740.3365500001</v>
      </c>
      <c r="V162" s="40">
        <v>61759570.237800002</v>
      </c>
      <c r="W162" s="45">
        <f t="shared" si="33"/>
        <v>235239333.01075</v>
      </c>
    </row>
    <row r="163" spans="1:23" ht="24.9" customHeight="1">
      <c r="A163" s="151"/>
      <c r="B163" s="153"/>
      <c r="C163" s="36">
        <v>9</v>
      </c>
      <c r="D163" s="40" t="s">
        <v>440</v>
      </c>
      <c r="E163" s="40">
        <v>189045876.4296</v>
      </c>
      <c r="F163" s="40">
        <v>0</v>
      </c>
      <c r="G163" s="40">
        <v>5671376.2928999998</v>
      </c>
      <c r="H163" s="40">
        <v>0</v>
      </c>
      <c r="I163" s="40">
        <f t="shared" si="31"/>
        <v>5671376.2928999998</v>
      </c>
      <c r="J163" s="40">
        <v>62163403.468999997</v>
      </c>
      <c r="K163" s="45">
        <f t="shared" si="32"/>
        <v>256880656.19150001</v>
      </c>
      <c r="L163" s="44"/>
      <c r="M163" s="153"/>
      <c r="N163" s="46">
        <v>6</v>
      </c>
      <c r="O163" s="153"/>
      <c r="P163" s="40" t="s">
        <v>441</v>
      </c>
      <c r="Q163" s="40">
        <v>180010795.8344</v>
      </c>
      <c r="R163" s="40">
        <v>0</v>
      </c>
      <c r="S163" s="40">
        <v>5400323.875</v>
      </c>
      <c r="T163" s="40">
        <f t="shared" si="41"/>
        <v>2700161.9375</v>
      </c>
      <c r="U163" s="40">
        <f t="shared" si="23"/>
        <v>2700161.9375</v>
      </c>
      <c r="V163" s="40">
        <v>63482220.816799998</v>
      </c>
      <c r="W163" s="45">
        <f t="shared" si="33"/>
        <v>246193178.5887</v>
      </c>
    </row>
    <row r="164" spans="1:23" ht="24.9" customHeight="1">
      <c r="A164" s="151"/>
      <c r="B164" s="153"/>
      <c r="C164" s="36">
        <v>10</v>
      </c>
      <c r="D164" s="40" t="s">
        <v>442</v>
      </c>
      <c r="E164" s="40">
        <v>161135531.64030001</v>
      </c>
      <c r="F164" s="40">
        <v>0</v>
      </c>
      <c r="G164" s="40">
        <v>4834065.9491999997</v>
      </c>
      <c r="H164" s="40">
        <v>0</v>
      </c>
      <c r="I164" s="40">
        <f t="shared" si="31"/>
        <v>4834065.9491999997</v>
      </c>
      <c r="J164" s="40">
        <v>54570823.035599999</v>
      </c>
      <c r="K164" s="45">
        <f t="shared" si="32"/>
        <v>220540420.62510002</v>
      </c>
      <c r="L164" s="44"/>
      <c r="M164" s="153"/>
      <c r="N164" s="46">
        <v>7</v>
      </c>
      <c r="O164" s="153"/>
      <c r="P164" s="40" t="s">
        <v>443</v>
      </c>
      <c r="Q164" s="40">
        <v>170504008.07080001</v>
      </c>
      <c r="R164" s="40">
        <v>0</v>
      </c>
      <c r="S164" s="40">
        <v>5115120.2421000004</v>
      </c>
      <c r="T164" s="40">
        <f t="shared" si="41"/>
        <v>2557560.1210500002</v>
      </c>
      <c r="U164" s="40">
        <f t="shared" si="23"/>
        <v>2557560.1210500002</v>
      </c>
      <c r="V164" s="40">
        <v>59115789.342299998</v>
      </c>
      <c r="W164" s="45">
        <f t="shared" si="33"/>
        <v>232177357.53415</v>
      </c>
    </row>
    <row r="165" spans="1:23" ht="24.9" customHeight="1">
      <c r="A165" s="151"/>
      <c r="B165" s="153"/>
      <c r="C165" s="36">
        <v>11</v>
      </c>
      <c r="D165" s="40" t="s">
        <v>444</v>
      </c>
      <c r="E165" s="40">
        <v>232163682.35460001</v>
      </c>
      <c r="F165" s="40">
        <v>0</v>
      </c>
      <c r="G165" s="40">
        <v>6964910.4705999997</v>
      </c>
      <c r="H165" s="40">
        <v>0</v>
      </c>
      <c r="I165" s="40">
        <f t="shared" si="31"/>
        <v>6964910.4705999997</v>
      </c>
      <c r="J165" s="40">
        <v>78581079.493100002</v>
      </c>
      <c r="K165" s="45">
        <f t="shared" si="32"/>
        <v>317709672.31830001</v>
      </c>
      <c r="L165" s="44"/>
      <c r="M165" s="153"/>
      <c r="N165" s="46">
        <v>8</v>
      </c>
      <c r="O165" s="153"/>
      <c r="P165" s="40" t="s">
        <v>445</v>
      </c>
      <c r="Q165" s="40">
        <v>152356133.93509999</v>
      </c>
      <c r="R165" s="40">
        <v>0</v>
      </c>
      <c r="S165" s="40">
        <v>4570684.0181</v>
      </c>
      <c r="T165" s="40">
        <f t="shared" si="41"/>
        <v>2285342.00905</v>
      </c>
      <c r="U165" s="40">
        <f t="shared" si="23"/>
        <v>2285342.00905</v>
      </c>
      <c r="V165" s="40">
        <v>54266000.349200003</v>
      </c>
      <c r="W165" s="45">
        <f t="shared" si="33"/>
        <v>208907476.29334998</v>
      </c>
    </row>
    <row r="166" spans="1:23" ht="24.9" customHeight="1">
      <c r="A166" s="151"/>
      <c r="B166" s="153"/>
      <c r="C166" s="36">
        <v>12</v>
      </c>
      <c r="D166" s="40" t="s">
        <v>446</v>
      </c>
      <c r="E166" s="40">
        <v>164422027.43650001</v>
      </c>
      <c r="F166" s="40">
        <v>0</v>
      </c>
      <c r="G166" s="40">
        <v>4932660.8230999997</v>
      </c>
      <c r="H166" s="40">
        <v>0</v>
      </c>
      <c r="I166" s="40">
        <f t="shared" si="31"/>
        <v>4932660.8230999997</v>
      </c>
      <c r="J166" s="40">
        <v>57848935.917999998</v>
      </c>
      <c r="K166" s="45">
        <f t="shared" si="32"/>
        <v>227203624.17760003</v>
      </c>
      <c r="L166" s="44"/>
      <c r="M166" s="153"/>
      <c r="N166" s="46">
        <v>9</v>
      </c>
      <c r="O166" s="153"/>
      <c r="P166" s="40" t="s">
        <v>447</v>
      </c>
      <c r="Q166" s="40">
        <v>164401039.17429999</v>
      </c>
      <c r="R166" s="40">
        <v>0</v>
      </c>
      <c r="S166" s="40">
        <v>4932031.1752000004</v>
      </c>
      <c r="T166" s="40">
        <f t="shared" si="41"/>
        <v>2466015.5876000002</v>
      </c>
      <c r="U166" s="40">
        <f t="shared" si="23"/>
        <v>2466015.5876000002</v>
      </c>
      <c r="V166" s="40">
        <v>58412748.024300002</v>
      </c>
      <c r="W166" s="45">
        <f t="shared" si="33"/>
        <v>225279802.78620002</v>
      </c>
    </row>
    <row r="167" spans="1:23" ht="24.9" customHeight="1">
      <c r="A167" s="151"/>
      <c r="B167" s="153"/>
      <c r="C167" s="36">
        <v>13</v>
      </c>
      <c r="D167" s="40" t="s">
        <v>448</v>
      </c>
      <c r="E167" s="40">
        <v>189704722.69170001</v>
      </c>
      <c r="F167" s="40">
        <v>0</v>
      </c>
      <c r="G167" s="40">
        <v>5691141.6807000004</v>
      </c>
      <c r="H167" s="40">
        <v>0</v>
      </c>
      <c r="I167" s="40">
        <f t="shared" si="31"/>
        <v>5691141.6807000004</v>
      </c>
      <c r="J167" s="40">
        <v>69928222.380199999</v>
      </c>
      <c r="K167" s="45">
        <f t="shared" si="32"/>
        <v>265324086.75260001</v>
      </c>
      <c r="L167" s="44"/>
      <c r="M167" s="153"/>
      <c r="N167" s="46">
        <v>10</v>
      </c>
      <c r="O167" s="153"/>
      <c r="P167" s="40" t="s">
        <v>449</v>
      </c>
      <c r="Q167" s="40">
        <v>181051725.57409999</v>
      </c>
      <c r="R167" s="40">
        <v>0</v>
      </c>
      <c r="S167" s="40">
        <v>5431551.7671999997</v>
      </c>
      <c r="T167" s="40">
        <f t="shared" si="41"/>
        <v>2715775.8835999998</v>
      </c>
      <c r="U167" s="40">
        <f t="shared" si="23"/>
        <v>2715775.8835999998</v>
      </c>
      <c r="V167" s="40">
        <v>62368917.013300002</v>
      </c>
      <c r="W167" s="45">
        <f t="shared" si="33"/>
        <v>246136418.47099999</v>
      </c>
    </row>
    <row r="168" spans="1:23" ht="24.9" customHeight="1">
      <c r="A168" s="151"/>
      <c r="B168" s="153"/>
      <c r="C168" s="36">
        <v>14</v>
      </c>
      <c r="D168" s="40" t="s">
        <v>450</v>
      </c>
      <c r="E168" s="40">
        <v>167689090.6652</v>
      </c>
      <c r="F168" s="40">
        <v>0</v>
      </c>
      <c r="G168" s="40">
        <v>5030672.72</v>
      </c>
      <c r="H168" s="40">
        <v>0</v>
      </c>
      <c r="I168" s="40">
        <f t="shared" si="31"/>
        <v>5030672.72</v>
      </c>
      <c r="J168" s="40">
        <v>53822196.997100003</v>
      </c>
      <c r="K168" s="45">
        <f t="shared" si="32"/>
        <v>226541960.38229999</v>
      </c>
      <c r="L168" s="44"/>
      <c r="M168" s="153"/>
      <c r="N168" s="46">
        <v>11</v>
      </c>
      <c r="O168" s="153"/>
      <c r="P168" s="40" t="s">
        <v>451</v>
      </c>
      <c r="Q168" s="40">
        <v>176850367.06720001</v>
      </c>
      <c r="R168" s="40">
        <v>0</v>
      </c>
      <c r="S168" s="40">
        <v>5305511.0120000001</v>
      </c>
      <c r="T168" s="40">
        <f t="shared" si="41"/>
        <v>2652755.5060000001</v>
      </c>
      <c r="U168" s="40">
        <f t="shared" si="23"/>
        <v>2652755.5060000001</v>
      </c>
      <c r="V168" s="40">
        <v>56811435.200199999</v>
      </c>
      <c r="W168" s="45">
        <f t="shared" si="33"/>
        <v>236314557.77339998</v>
      </c>
    </row>
    <row r="169" spans="1:23" ht="24.9" customHeight="1">
      <c r="A169" s="151"/>
      <c r="B169" s="153"/>
      <c r="C169" s="36">
        <v>15</v>
      </c>
      <c r="D169" s="40" t="s">
        <v>452</v>
      </c>
      <c r="E169" s="40">
        <v>154320840.9332</v>
      </c>
      <c r="F169" s="40">
        <v>0</v>
      </c>
      <c r="G169" s="40">
        <v>4629625.2280000001</v>
      </c>
      <c r="H169" s="40">
        <v>0</v>
      </c>
      <c r="I169" s="40">
        <f t="shared" si="31"/>
        <v>4629625.2280000001</v>
      </c>
      <c r="J169" s="40">
        <v>49939123.041199997</v>
      </c>
      <c r="K169" s="45">
        <f t="shared" si="32"/>
        <v>208889589.20239997</v>
      </c>
      <c r="L169" s="44"/>
      <c r="M169" s="153"/>
      <c r="N169" s="46">
        <v>12</v>
      </c>
      <c r="O169" s="153"/>
      <c r="P169" s="40" t="s">
        <v>453</v>
      </c>
      <c r="Q169" s="40">
        <v>205786770.34560001</v>
      </c>
      <c r="R169" s="40">
        <v>0</v>
      </c>
      <c r="S169" s="40">
        <v>6173603.1103999997</v>
      </c>
      <c r="T169" s="40">
        <f t="shared" si="41"/>
        <v>3086801.5551999998</v>
      </c>
      <c r="U169" s="40">
        <f t="shared" si="23"/>
        <v>3086801.5551999998</v>
      </c>
      <c r="V169" s="40">
        <v>70073532.197300002</v>
      </c>
      <c r="W169" s="45">
        <f t="shared" si="33"/>
        <v>278947104.09810001</v>
      </c>
    </row>
    <row r="170" spans="1:23" ht="24.9" customHeight="1">
      <c r="A170" s="151"/>
      <c r="B170" s="153"/>
      <c r="C170" s="36">
        <v>16</v>
      </c>
      <c r="D170" s="40" t="s">
        <v>454</v>
      </c>
      <c r="E170" s="40">
        <v>226123226.08090001</v>
      </c>
      <c r="F170" s="40">
        <v>0</v>
      </c>
      <c r="G170" s="40">
        <v>6783696.7823999999</v>
      </c>
      <c r="H170" s="40">
        <v>0</v>
      </c>
      <c r="I170" s="40">
        <f t="shared" si="31"/>
        <v>6783696.7823999999</v>
      </c>
      <c r="J170" s="40">
        <v>62666563.096500002</v>
      </c>
      <c r="K170" s="45">
        <f t="shared" si="32"/>
        <v>295573485.9598</v>
      </c>
      <c r="L170" s="44"/>
      <c r="M170" s="153"/>
      <c r="N170" s="46">
        <v>13</v>
      </c>
      <c r="O170" s="153"/>
      <c r="P170" s="40" t="s">
        <v>455</v>
      </c>
      <c r="Q170" s="40">
        <v>210802012.81560001</v>
      </c>
      <c r="R170" s="40">
        <v>0</v>
      </c>
      <c r="S170" s="40">
        <v>6324060.3844999997</v>
      </c>
      <c r="T170" s="40">
        <f t="shared" si="41"/>
        <v>3162030.1922499998</v>
      </c>
      <c r="U170" s="40">
        <f t="shared" ref="U170:U233" si="42">S170-T170</f>
        <v>3162030.1922499998</v>
      </c>
      <c r="V170" s="40">
        <v>66317244.898800001</v>
      </c>
      <c r="W170" s="45">
        <f t="shared" si="33"/>
        <v>280281287.90665001</v>
      </c>
    </row>
    <row r="171" spans="1:23" ht="24.9" customHeight="1">
      <c r="A171" s="151"/>
      <c r="B171" s="153"/>
      <c r="C171" s="36">
        <v>17</v>
      </c>
      <c r="D171" s="40" t="s">
        <v>456</v>
      </c>
      <c r="E171" s="40">
        <v>233042970.87619999</v>
      </c>
      <c r="F171" s="40">
        <v>0</v>
      </c>
      <c r="G171" s="40">
        <v>6991289.1262999997</v>
      </c>
      <c r="H171" s="40">
        <v>0</v>
      </c>
      <c r="I171" s="40">
        <f t="shared" si="31"/>
        <v>6991289.1262999997</v>
      </c>
      <c r="J171" s="40">
        <v>68952735.939099997</v>
      </c>
      <c r="K171" s="45">
        <f t="shared" si="32"/>
        <v>308986995.94159997</v>
      </c>
      <c r="L171" s="44"/>
      <c r="M171" s="153"/>
      <c r="N171" s="46">
        <v>14</v>
      </c>
      <c r="O171" s="153"/>
      <c r="P171" s="40" t="s">
        <v>457</v>
      </c>
      <c r="Q171" s="40">
        <v>233413774.84979999</v>
      </c>
      <c r="R171" s="40">
        <v>0</v>
      </c>
      <c r="S171" s="40">
        <v>7002413.2455000002</v>
      </c>
      <c r="T171" s="40">
        <f t="shared" si="41"/>
        <v>3501206.6227500001</v>
      </c>
      <c r="U171" s="40">
        <f t="shared" si="42"/>
        <v>3501206.6227500001</v>
      </c>
      <c r="V171" s="40">
        <v>68679809.267100006</v>
      </c>
      <c r="W171" s="45">
        <f t="shared" si="33"/>
        <v>305594790.73965001</v>
      </c>
    </row>
    <row r="172" spans="1:23" ht="24.9" customHeight="1">
      <c r="A172" s="151"/>
      <c r="B172" s="153"/>
      <c r="C172" s="36">
        <v>18</v>
      </c>
      <c r="D172" s="40" t="s">
        <v>458</v>
      </c>
      <c r="E172" s="40">
        <v>129758440.2731</v>
      </c>
      <c r="F172" s="40">
        <v>0</v>
      </c>
      <c r="G172" s="40">
        <v>3892753.2082000002</v>
      </c>
      <c r="H172" s="40">
        <v>0</v>
      </c>
      <c r="I172" s="40">
        <f t="shared" si="31"/>
        <v>3892753.2082000002</v>
      </c>
      <c r="J172" s="40">
        <v>49368051.482900001</v>
      </c>
      <c r="K172" s="45">
        <f t="shared" si="32"/>
        <v>183019244.96419999</v>
      </c>
      <c r="L172" s="44"/>
      <c r="M172" s="153"/>
      <c r="N172" s="46">
        <v>15</v>
      </c>
      <c r="O172" s="153"/>
      <c r="P172" s="40" t="s">
        <v>459</v>
      </c>
      <c r="Q172" s="40">
        <v>275413741.76999998</v>
      </c>
      <c r="R172" s="40">
        <v>0</v>
      </c>
      <c r="S172" s="40">
        <v>8262412.2531000003</v>
      </c>
      <c r="T172" s="40">
        <f t="shared" si="41"/>
        <v>4131206.1265500002</v>
      </c>
      <c r="U172" s="40">
        <f t="shared" si="42"/>
        <v>4131206.1265500002</v>
      </c>
      <c r="V172" s="40">
        <v>70751987.004099995</v>
      </c>
      <c r="W172" s="45">
        <f t="shared" si="33"/>
        <v>350296934.90064991</v>
      </c>
    </row>
    <row r="173" spans="1:23" ht="24.9" customHeight="1">
      <c r="A173" s="151"/>
      <c r="B173" s="153"/>
      <c r="C173" s="36">
        <v>19</v>
      </c>
      <c r="D173" s="40" t="s">
        <v>460</v>
      </c>
      <c r="E173" s="40">
        <v>174809858.29030001</v>
      </c>
      <c r="F173" s="40">
        <v>0</v>
      </c>
      <c r="G173" s="40">
        <v>5244295.7487000003</v>
      </c>
      <c r="H173" s="40">
        <v>0</v>
      </c>
      <c r="I173" s="40">
        <f t="shared" si="31"/>
        <v>5244295.7487000003</v>
      </c>
      <c r="J173" s="40">
        <v>55616746.508599997</v>
      </c>
      <c r="K173" s="45">
        <f t="shared" si="32"/>
        <v>235670900.5476</v>
      </c>
      <c r="L173" s="44"/>
      <c r="M173" s="153"/>
      <c r="N173" s="46">
        <v>16</v>
      </c>
      <c r="O173" s="153"/>
      <c r="P173" s="40" t="s">
        <v>461</v>
      </c>
      <c r="Q173" s="40">
        <v>174428392.54100001</v>
      </c>
      <c r="R173" s="40">
        <v>0</v>
      </c>
      <c r="S173" s="40">
        <v>5232851.7762000002</v>
      </c>
      <c r="T173" s="40">
        <f t="shared" si="41"/>
        <v>2616425.8881000001</v>
      </c>
      <c r="U173" s="40">
        <f t="shared" si="42"/>
        <v>2616425.8881000001</v>
      </c>
      <c r="V173" s="40">
        <v>68945476.487200007</v>
      </c>
      <c r="W173" s="45">
        <f t="shared" si="33"/>
        <v>245990294.9163</v>
      </c>
    </row>
    <row r="174" spans="1:23" ht="24.9" customHeight="1">
      <c r="A174" s="151"/>
      <c r="B174" s="153"/>
      <c r="C174" s="36">
        <v>20</v>
      </c>
      <c r="D174" s="40" t="s">
        <v>462</v>
      </c>
      <c r="E174" s="40">
        <v>206868523.84369999</v>
      </c>
      <c r="F174" s="40">
        <v>0</v>
      </c>
      <c r="G174" s="40">
        <v>6206055.7153000003</v>
      </c>
      <c r="H174" s="40">
        <v>0</v>
      </c>
      <c r="I174" s="40">
        <f t="shared" si="31"/>
        <v>6206055.7153000003</v>
      </c>
      <c r="J174" s="40">
        <v>60495906.414899997</v>
      </c>
      <c r="K174" s="45">
        <f t="shared" si="32"/>
        <v>273570485.97389996</v>
      </c>
      <c r="L174" s="44"/>
      <c r="M174" s="153"/>
      <c r="N174" s="46">
        <v>17</v>
      </c>
      <c r="O174" s="153"/>
      <c r="P174" s="40" t="s">
        <v>463</v>
      </c>
      <c r="Q174" s="40">
        <v>236751811.90279999</v>
      </c>
      <c r="R174" s="40">
        <v>0</v>
      </c>
      <c r="S174" s="40">
        <v>7102554.3570999997</v>
      </c>
      <c r="T174" s="40">
        <f t="shared" si="41"/>
        <v>3551277.1785499998</v>
      </c>
      <c r="U174" s="40">
        <f t="shared" si="42"/>
        <v>3551277.1785499998</v>
      </c>
      <c r="V174" s="40">
        <v>74727692.302000001</v>
      </c>
      <c r="W174" s="45">
        <f t="shared" si="33"/>
        <v>315030781.38335001</v>
      </c>
    </row>
    <row r="175" spans="1:23" ht="24.9" customHeight="1">
      <c r="A175" s="151"/>
      <c r="B175" s="153"/>
      <c r="C175" s="36">
        <v>21</v>
      </c>
      <c r="D175" s="40" t="s">
        <v>464</v>
      </c>
      <c r="E175" s="40">
        <v>301250003.3089</v>
      </c>
      <c r="F175" s="40">
        <v>0</v>
      </c>
      <c r="G175" s="40">
        <v>9037500.0993000008</v>
      </c>
      <c r="H175" s="40">
        <v>0</v>
      </c>
      <c r="I175" s="40">
        <f t="shared" si="31"/>
        <v>9037500.0993000008</v>
      </c>
      <c r="J175" s="40">
        <v>111165516.2278</v>
      </c>
      <c r="K175" s="45">
        <f t="shared" si="32"/>
        <v>421453019.63600004</v>
      </c>
      <c r="L175" s="44"/>
      <c r="M175" s="153"/>
      <c r="N175" s="46">
        <v>18</v>
      </c>
      <c r="O175" s="153"/>
      <c r="P175" s="40" t="s">
        <v>465</v>
      </c>
      <c r="Q175" s="40">
        <v>159920762.14770001</v>
      </c>
      <c r="R175" s="40">
        <v>0</v>
      </c>
      <c r="S175" s="40">
        <v>4797622.8644000003</v>
      </c>
      <c r="T175" s="40">
        <f t="shared" si="41"/>
        <v>2398811.4322000002</v>
      </c>
      <c r="U175" s="40">
        <f t="shared" si="42"/>
        <v>2398811.4322000002</v>
      </c>
      <c r="V175" s="40">
        <v>55950774.410999998</v>
      </c>
      <c r="W175" s="45">
        <f t="shared" si="33"/>
        <v>218270347.99089998</v>
      </c>
    </row>
    <row r="176" spans="1:23" ht="24.9" customHeight="1">
      <c r="A176" s="151"/>
      <c r="B176" s="153"/>
      <c r="C176" s="36">
        <v>22</v>
      </c>
      <c r="D176" s="40" t="s">
        <v>466</v>
      </c>
      <c r="E176" s="40">
        <v>188118304.85479999</v>
      </c>
      <c r="F176" s="40">
        <v>0</v>
      </c>
      <c r="G176" s="40">
        <v>5643549.1456000004</v>
      </c>
      <c r="H176" s="40">
        <v>0</v>
      </c>
      <c r="I176" s="40">
        <f t="shared" si="31"/>
        <v>5643549.1456000004</v>
      </c>
      <c r="J176" s="40">
        <v>59052478.862199999</v>
      </c>
      <c r="K176" s="45">
        <f t="shared" si="32"/>
        <v>252814332.86259997</v>
      </c>
      <c r="L176" s="44"/>
      <c r="M176" s="153"/>
      <c r="N176" s="46">
        <v>19</v>
      </c>
      <c r="O176" s="153"/>
      <c r="P176" s="40" t="s">
        <v>467</v>
      </c>
      <c r="Q176" s="40">
        <v>184050378.1868</v>
      </c>
      <c r="R176" s="40">
        <v>0</v>
      </c>
      <c r="S176" s="40">
        <v>5521511.3455999997</v>
      </c>
      <c r="T176" s="40">
        <f t="shared" si="41"/>
        <v>2760755.6727999998</v>
      </c>
      <c r="U176" s="40">
        <f t="shared" si="42"/>
        <v>2760755.6727999998</v>
      </c>
      <c r="V176" s="40">
        <v>63185189.182400003</v>
      </c>
      <c r="W176" s="45">
        <f t="shared" si="33"/>
        <v>249996323.042</v>
      </c>
    </row>
    <row r="177" spans="1:23" ht="24.9" customHeight="1">
      <c r="A177" s="151"/>
      <c r="B177" s="153"/>
      <c r="C177" s="36">
        <v>23</v>
      </c>
      <c r="D177" s="40" t="s">
        <v>468</v>
      </c>
      <c r="E177" s="40">
        <v>175179392.00690001</v>
      </c>
      <c r="F177" s="40">
        <v>0</v>
      </c>
      <c r="G177" s="40">
        <v>5255381.7602000004</v>
      </c>
      <c r="H177" s="40">
        <v>0</v>
      </c>
      <c r="I177" s="40">
        <f t="shared" si="31"/>
        <v>5255381.7602000004</v>
      </c>
      <c r="J177" s="40">
        <v>57362521.697999999</v>
      </c>
      <c r="K177" s="45">
        <f t="shared" si="32"/>
        <v>237797295.46509999</v>
      </c>
      <c r="L177" s="44"/>
      <c r="M177" s="153"/>
      <c r="N177" s="46">
        <v>20</v>
      </c>
      <c r="O177" s="153"/>
      <c r="P177" s="40" t="s">
        <v>469</v>
      </c>
      <c r="Q177" s="40">
        <v>212281498.80419999</v>
      </c>
      <c r="R177" s="40">
        <v>0</v>
      </c>
      <c r="S177" s="40">
        <v>6368444.9641000004</v>
      </c>
      <c r="T177" s="40">
        <f t="shared" si="41"/>
        <v>3184222.4820500002</v>
      </c>
      <c r="U177" s="40">
        <f t="shared" si="42"/>
        <v>3184222.4820500002</v>
      </c>
      <c r="V177" s="40">
        <v>66353925.315300003</v>
      </c>
      <c r="W177" s="45">
        <f t="shared" si="33"/>
        <v>281819646.60154998</v>
      </c>
    </row>
    <row r="178" spans="1:23" ht="24.9" customHeight="1">
      <c r="A178" s="151"/>
      <c r="B178" s="153"/>
      <c r="C178" s="36">
        <v>24</v>
      </c>
      <c r="D178" s="40" t="s">
        <v>470</v>
      </c>
      <c r="E178" s="40">
        <v>170991695.9833</v>
      </c>
      <c r="F178" s="40">
        <v>0</v>
      </c>
      <c r="G178" s="40">
        <v>5129750.8794999998</v>
      </c>
      <c r="H178" s="40">
        <v>0</v>
      </c>
      <c r="I178" s="40">
        <f t="shared" si="31"/>
        <v>5129750.8794999998</v>
      </c>
      <c r="J178" s="40">
        <v>56458402.589199997</v>
      </c>
      <c r="K178" s="45">
        <f t="shared" si="32"/>
        <v>232579849.45199999</v>
      </c>
      <c r="L178" s="44"/>
      <c r="M178" s="153"/>
      <c r="N178" s="46">
        <v>21</v>
      </c>
      <c r="O178" s="153"/>
      <c r="P178" s="40" t="s">
        <v>471</v>
      </c>
      <c r="Q178" s="40">
        <v>199699680.98089999</v>
      </c>
      <c r="R178" s="40">
        <v>0</v>
      </c>
      <c r="S178" s="40">
        <v>5990990.4293999998</v>
      </c>
      <c r="T178" s="40">
        <f t="shared" si="41"/>
        <v>2995495.2146999999</v>
      </c>
      <c r="U178" s="40">
        <f t="shared" si="42"/>
        <v>2995495.2146999999</v>
      </c>
      <c r="V178" s="40">
        <v>65573004.562200002</v>
      </c>
      <c r="W178" s="45">
        <f t="shared" si="33"/>
        <v>268268180.75779998</v>
      </c>
    </row>
    <row r="179" spans="1:23" ht="24.9" customHeight="1">
      <c r="A179" s="151"/>
      <c r="B179" s="153"/>
      <c r="C179" s="36">
        <v>25</v>
      </c>
      <c r="D179" s="40" t="s">
        <v>472</v>
      </c>
      <c r="E179" s="40">
        <v>195557867.3881</v>
      </c>
      <c r="F179" s="40">
        <v>0</v>
      </c>
      <c r="G179" s="40">
        <v>5866736.0215999996</v>
      </c>
      <c r="H179" s="40">
        <v>0</v>
      </c>
      <c r="I179" s="40">
        <f t="shared" si="31"/>
        <v>5866736.0215999996</v>
      </c>
      <c r="J179" s="40">
        <v>73365948.234799996</v>
      </c>
      <c r="K179" s="45">
        <f t="shared" si="32"/>
        <v>274790551.64450002</v>
      </c>
      <c r="L179" s="44"/>
      <c r="M179" s="153"/>
      <c r="N179" s="46">
        <v>22</v>
      </c>
      <c r="O179" s="153"/>
      <c r="P179" s="40" t="s">
        <v>473</v>
      </c>
      <c r="Q179" s="40">
        <v>236075620.54879999</v>
      </c>
      <c r="R179" s="40">
        <v>0</v>
      </c>
      <c r="S179" s="40">
        <v>7082268.6164999995</v>
      </c>
      <c r="T179" s="40">
        <f t="shared" si="41"/>
        <v>3541134.3082499998</v>
      </c>
      <c r="U179" s="40">
        <f t="shared" si="42"/>
        <v>3541134.3082499998</v>
      </c>
      <c r="V179" s="40">
        <v>73460756.028999999</v>
      </c>
      <c r="W179" s="45">
        <f t="shared" si="33"/>
        <v>313077510.88604999</v>
      </c>
    </row>
    <row r="180" spans="1:23" ht="24.9" customHeight="1">
      <c r="A180" s="151"/>
      <c r="B180" s="153"/>
      <c r="C180" s="36">
        <v>26</v>
      </c>
      <c r="D180" s="40" t="s">
        <v>474</v>
      </c>
      <c r="E180" s="40">
        <v>169988487.2843</v>
      </c>
      <c r="F180" s="40">
        <v>0</v>
      </c>
      <c r="G180" s="40">
        <v>5099654.6184999999</v>
      </c>
      <c r="H180" s="40">
        <v>0</v>
      </c>
      <c r="I180" s="40">
        <f t="shared" si="31"/>
        <v>5099654.6184999999</v>
      </c>
      <c r="J180" s="40">
        <v>55122491.185099997</v>
      </c>
      <c r="K180" s="45">
        <f t="shared" si="32"/>
        <v>230210633.08789998</v>
      </c>
      <c r="L180" s="44"/>
      <c r="M180" s="153"/>
      <c r="N180" s="46">
        <v>23</v>
      </c>
      <c r="O180" s="153"/>
      <c r="P180" s="40" t="s">
        <v>475</v>
      </c>
      <c r="Q180" s="40">
        <v>172648029.31810001</v>
      </c>
      <c r="R180" s="40">
        <v>0</v>
      </c>
      <c r="S180" s="40">
        <v>5179440.8794999998</v>
      </c>
      <c r="T180" s="40">
        <f t="shared" si="41"/>
        <v>2589720.4397499999</v>
      </c>
      <c r="U180" s="40">
        <f t="shared" si="42"/>
        <v>2589720.4397499999</v>
      </c>
      <c r="V180" s="40">
        <v>70958779.497700006</v>
      </c>
      <c r="W180" s="45">
        <f t="shared" si="33"/>
        <v>246196529.25555003</v>
      </c>
    </row>
    <row r="181" spans="1:23" ht="24.9" customHeight="1">
      <c r="A181" s="151"/>
      <c r="B181" s="154"/>
      <c r="C181" s="36">
        <v>27</v>
      </c>
      <c r="D181" s="40" t="s">
        <v>476</v>
      </c>
      <c r="E181" s="40">
        <v>164866021.80880001</v>
      </c>
      <c r="F181" s="40">
        <v>0</v>
      </c>
      <c r="G181" s="40">
        <v>4945980.6542999996</v>
      </c>
      <c r="H181" s="40">
        <v>0</v>
      </c>
      <c r="I181" s="40">
        <f t="shared" si="31"/>
        <v>4945980.6542999996</v>
      </c>
      <c r="J181" s="40">
        <v>55457133.536399998</v>
      </c>
      <c r="K181" s="45">
        <f t="shared" si="32"/>
        <v>225269135.99950001</v>
      </c>
      <c r="L181" s="44"/>
      <c r="M181" s="153"/>
      <c r="N181" s="46">
        <v>24</v>
      </c>
      <c r="O181" s="153"/>
      <c r="P181" s="40" t="s">
        <v>477</v>
      </c>
      <c r="Q181" s="40">
        <v>140508091.8964</v>
      </c>
      <c r="R181" s="40">
        <v>0</v>
      </c>
      <c r="S181" s="40">
        <v>4215242.7569000004</v>
      </c>
      <c r="T181" s="40">
        <f t="shared" si="41"/>
        <v>2107621.3784500002</v>
      </c>
      <c r="U181" s="40">
        <f t="shared" si="42"/>
        <v>2107621.3784500002</v>
      </c>
      <c r="V181" s="40">
        <v>53278552.9027</v>
      </c>
      <c r="W181" s="45">
        <f t="shared" si="33"/>
        <v>195894266.17755002</v>
      </c>
    </row>
    <row r="182" spans="1:23" ht="24.9" customHeight="1">
      <c r="A182" s="36"/>
      <c r="B182" s="146" t="s">
        <v>478</v>
      </c>
      <c r="C182" s="147"/>
      <c r="D182" s="41"/>
      <c r="E182" s="41">
        <f>SUM(E155:E181)</f>
        <v>5093373290.6613989</v>
      </c>
      <c r="F182" s="41">
        <f t="shared" ref="F182:K182" si="43">SUM(F155:F181)</f>
        <v>0</v>
      </c>
      <c r="G182" s="41">
        <f t="shared" si="43"/>
        <v>152801198.71969998</v>
      </c>
      <c r="H182" s="41">
        <f t="shared" si="43"/>
        <v>0</v>
      </c>
      <c r="I182" s="41">
        <f t="shared" si="31"/>
        <v>152801198.71969998</v>
      </c>
      <c r="J182" s="41">
        <f t="shared" si="43"/>
        <v>1681892147.5365002</v>
      </c>
      <c r="K182" s="41">
        <f t="shared" si="43"/>
        <v>6928066636.9175997</v>
      </c>
      <c r="L182" s="44"/>
      <c r="M182" s="154"/>
      <c r="N182" s="46">
        <v>25</v>
      </c>
      <c r="O182" s="154"/>
      <c r="P182" s="40" t="s">
        <v>479</v>
      </c>
      <c r="Q182" s="40">
        <v>156623062.7728</v>
      </c>
      <c r="R182" s="40">
        <v>0</v>
      </c>
      <c r="S182" s="40">
        <v>4698691.8832</v>
      </c>
      <c r="T182" s="40">
        <f t="shared" si="41"/>
        <v>2349345.9416</v>
      </c>
      <c r="U182" s="40">
        <f t="shared" si="42"/>
        <v>2349345.9416</v>
      </c>
      <c r="V182" s="40">
        <v>53044515.896799996</v>
      </c>
      <c r="W182" s="45">
        <f t="shared" si="33"/>
        <v>212016924.61119998</v>
      </c>
    </row>
    <row r="183" spans="1:23" ht="24.9" customHeight="1">
      <c r="A183" s="151">
        <v>9</v>
      </c>
      <c r="B183" s="152" t="s">
        <v>480</v>
      </c>
      <c r="C183" s="36">
        <v>1</v>
      </c>
      <c r="D183" s="40" t="s">
        <v>481</v>
      </c>
      <c r="E183" s="40">
        <v>174779879.85659999</v>
      </c>
      <c r="F183" s="40">
        <f t="shared" ref="F183:F200" si="44">-2141737.01</f>
        <v>-2141737.0099999998</v>
      </c>
      <c r="G183" s="40">
        <v>5243396.3957000002</v>
      </c>
      <c r="H183" s="40">
        <f t="shared" ref="H183:H226" si="45">G183/2</f>
        <v>2621698.1978500001</v>
      </c>
      <c r="I183" s="40">
        <f t="shared" si="31"/>
        <v>2621698.1978500001</v>
      </c>
      <c r="J183" s="40">
        <v>60112648.777999997</v>
      </c>
      <c r="K183" s="45">
        <f t="shared" si="32"/>
        <v>235372489.82245001</v>
      </c>
      <c r="L183" s="44"/>
      <c r="M183" s="36"/>
      <c r="N183" s="146" t="s">
        <v>482</v>
      </c>
      <c r="O183" s="148"/>
      <c r="P183" s="41"/>
      <c r="Q183" s="41">
        <f>SUM(Q158:Q182)</f>
        <v>4784785579.5505009</v>
      </c>
      <c r="R183" s="40">
        <v>0</v>
      </c>
      <c r="S183" s="41">
        <f t="shared" ref="S183:W183" si="46">SUM(S158:S182)</f>
        <v>143543567.38639998</v>
      </c>
      <c r="T183" s="41">
        <f t="shared" si="46"/>
        <v>71771783.693199992</v>
      </c>
      <c r="U183" s="41">
        <f t="shared" si="42"/>
        <v>71771783.693199992</v>
      </c>
      <c r="V183" s="41">
        <f t="shared" si="46"/>
        <v>1579377086.5465</v>
      </c>
      <c r="W183" s="41">
        <f t="shared" si="46"/>
        <v>6435934449.7902021</v>
      </c>
    </row>
    <row r="184" spans="1:23" ht="24.9" customHeight="1">
      <c r="A184" s="151"/>
      <c r="B184" s="153"/>
      <c r="C184" s="36">
        <v>2</v>
      </c>
      <c r="D184" s="40" t="s">
        <v>483</v>
      </c>
      <c r="E184" s="40">
        <v>219696188.64789999</v>
      </c>
      <c r="F184" s="40">
        <f t="shared" si="44"/>
        <v>-2141737.0099999998</v>
      </c>
      <c r="G184" s="40">
        <v>6590885.6594000002</v>
      </c>
      <c r="H184" s="40">
        <f t="shared" si="45"/>
        <v>3295442.8297000001</v>
      </c>
      <c r="I184" s="40">
        <f t="shared" si="31"/>
        <v>3295442.8297000001</v>
      </c>
      <c r="J184" s="40">
        <v>60952975.858000003</v>
      </c>
      <c r="K184" s="45">
        <f t="shared" si="32"/>
        <v>281802870.32559997</v>
      </c>
      <c r="L184" s="44"/>
      <c r="M184" s="152">
        <v>27</v>
      </c>
      <c r="N184" s="46">
        <v>1</v>
      </c>
      <c r="O184" s="152" t="s">
        <v>109</v>
      </c>
      <c r="P184" s="40" t="s">
        <v>484</v>
      </c>
      <c r="Q184" s="40">
        <v>175843022.71329999</v>
      </c>
      <c r="R184" s="40">
        <f t="shared" ref="R184:R203" si="47">-5788847.52</f>
        <v>-5788847.5199999996</v>
      </c>
      <c r="S184" s="40">
        <v>5275290.6814000001</v>
      </c>
      <c r="T184" s="40">
        <v>0</v>
      </c>
      <c r="U184" s="40">
        <f t="shared" si="42"/>
        <v>5275290.6814000001</v>
      </c>
      <c r="V184" s="40">
        <v>71382323.927100003</v>
      </c>
      <c r="W184" s="45">
        <f t="shared" si="33"/>
        <v>246711789.80179998</v>
      </c>
    </row>
    <row r="185" spans="1:23" ht="24.9" customHeight="1">
      <c r="A185" s="151"/>
      <c r="B185" s="153"/>
      <c r="C185" s="36">
        <v>3</v>
      </c>
      <c r="D185" s="40" t="s">
        <v>485</v>
      </c>
      <c r="E185" s="40">
        <v>210313946.3734</v>
      </c>
      <c r="F185" s="40">
        <f t="shared" si="44"/>
        <v>-2141737.0099999998</v>
      </c>
      <c r="G185" s="40">
        <v>6309418.3912000004</v>
      </c>
      <c r="H185" s="40">
        <f t="shared" si="45"/>
        <v>3154709.1956000002</v>
      </c>
      <c r="I185" s="40">
        <f t="shared" si="31"/>
        <v>3154709.1956000002</v>
      </c>
      <c r="J185" s="40">
        <v>76936866.085899994</v>
      </c>
      <c r="K185" s="45">
        <f t="shared" si="32"/>
        <v>288263784.64490002</v>
      </c>
      <c r="L185" s="44"/>
      <c r="M185" s="153"/>
      <c r="N185" s="46">
        <v>2</v>
      </c>
      <c r="O185" s="153"/>
      <c r="P185" s="40" t="s">
        <v>486</v>
      </c>
      <c r="Q185" s="40">
        <v>181531015.04530001</v>
      </c>
      <c r="R185" s="40">
        <f t="shared" si="47"/>
        <v>-5788847.5199999996</v>
      </c>
      <c r="S185" s="40">
        <v>5445930.4513999997</v>
      </c>
      <c r="T185" s="40">
        <v>0</v>
      </c>
      <c r="U185" s="40">
        <f t="shared" si="42"/>
        <v>5445930.4513999997</v>
      </c>
      <c r="V185" s="40">
        <v>77887648.968799993</v>
      </c>
      <c r="W185" s="45">
        <f t="shared" si="33"/>
        <v>259075746.94550002</v>
      </c>
    </row>
    <row r="186" spans="1:23" ht="24.9" customHeight="1">
      <c r="A186" s="151"/>
      <c r="B186" s="153"/>
      <c r="C186" s="36">
        <v>4</v>
      </c>
      <c r="D186" s="40" t="s">
        <v>487</v>
      </c>
      <c r="E186" s="40">
        <v>135698240.9596</v>
      </c>
      <c r="F186" s="40">
        <f t="shared" si="44"/>
        <v>-2141737.0099999998</v>
      </c>
      <c r="G186" s="40">
        <v>4070947.2288000002</v>
      </c>
      <c r="H186" s="40">
        <f t="shared" si="45"/>
        <v>2035473.6144000001</v>
      </c>
      <c r="I186" s="40">
        <f t="shared" si="31"/>
        <v>2035473.6144000001</v>
      </c>
      <c r="J186" s="40">
        <v>45172422.722099997</v>
      </c>
      <c r="K186" s="45">
        <f t="shared" si="32"/>
        <v>180764400.2861</v>
      </c>
      <c r="L186" s="44"/>
      <c r="M186" s="153"/>
      <c r="N186" s="46">
        <v>3</v>
      </c>
      <c r="O186" s="153"/>
      <c r="P186" s="40" t="s">
        <v>488</v>
      </c>
      <c r="Q186" s="40">
        <v>279019179.62150002</v>
      </c>
      <c r="R186" s="40">
        <f t="shared" si="47"/>
        <v>-5788847.5199999996</v>
      </c>
      <c r="S186" s="40">
        <v>8370575.3886000002</v>
      </c>
      <c r="T186" s="40">
        <v>0</v>
      </c>
      <c r="U186" s="40">
        <f t="shared" si="42"/>
        <v>8370575.3886000002</v>
      </c>
      <c r="V186" s="40">
        <v>114606207.87289999</v>
      </c>
      <c r="W186" s="45">
        <f t="shared" si="33"/>
        <v>396207115.36300004</v>
      </c>
    </row>
    <row r="187" spans="1:23" ht="24.9" customHeight="1">
      <c r="A187" s="151"/>
      <c r="B187" s="153"/>
      <c r="C187" s="36">
        <v>5</v>
      </c>
      <c r="D187" s="40" t="s">
        <v>489</v>
      </c>
      <c r="E187" s="40">
        <v>162101263.85330001</v>
      </c>
      <c r="F187" s="40">
        <f t="shared" si="44"/>
        <v>-2141737.0099999998</v>
      </c>
      <c r="G187" s="40">
        <v>4863037.9155999999</v>
      </c>
      <c r="H187" s="40">
        <f t="shared" si="45"/>
        <v>2431518.9578</v>
      </c>
      <c r="I187" s="40">
        <f t="shared" si="31"/>
        <v>2431518.9578</v>
      </c>
      <c r="J187" s="40">
        <v>54932204.435400002</v>
      </c>
      <c r="K187" s="45">
        <f t="shared" si="32"/>
        <v>217323250.23650002</v>
      </c>
      <c r="L187" s="44"/>
      <c r="M187" s="153"/>
      <c r="N187" s="46">
        <v>4</v>
      </c>
      <c r="O187" s="153"/>
      <c r="P187" s="40" t="s">
        <v>490</v>
      </c>
      <c r="Q187" s="40">
        <v>183457452.90830001</v>
      </c>
      <c r="R187" s="40">
        <f t="shared" si="47"/>
        <v>-5788847.5199999996</v>
      </c>
      <c r="S187" s="40">
        <v>5503723.5872</v>
      </c>
      <c r="T187" s="40">
        <v>0</v>
      </c>
      <c r="U187" s="40">
        <f t="shared" si="42"/>
        <v>5503723.5872</v>
      </c>
      <c r="V187" s="40">
        <v>68790374.055000007</v>
      </c>
      <c r="W187" s="45">
        <f t="shared" si="33"/>
        <v>251962703.03049999</v>
      </c>
    </row>
    <row r="188" spans="1:23" ht="24.9" customHeight="1">
      <c r="A188" s="151"/>
      <c r="B188" s="153"/>
      <c r="C188" s="36">
        <v>6</v>
      </c>
      <c r="D188" s="40" t="s">
        <v>491</v>
      </c>
      <c r="E188" s="40">
        <v>186485480.38699999</v>
      </c>
      <c r="F188" s="40">
        <f t="shared" si="44"/>
        <v>-2141737.0099999998</v>
      </c>
      <c r="G188" s="40">
        <v>5594564.4116000002</v>
      </c>
      <c r="H188" s="40">
        <f t="shared" si="45"/>
        <v>2797282.2058000001</v>
      </c>
      <c r="I188" s="40">
        <f t="shared" si="31"/>
        <v>2797282.2058000001</v>
      </c>
      <c r="J188" s="40">
        <v>63352885.143299997</v>
      </c>
      <c r="K188" s="45">
        <f t="shared" si="32"/>
        <v>250493910.7261</v>
      </c>
      <c r="L188" s="44"/>
      <c r="M188" s="153"/>
      <c r="N188" s="46">
        <v>5</v>
      </c>
      <c r="O188" s="153"/>
      <c r="P188" s="40" t="s">
        <v>492</v>
      </c>
      <c r="Q188" s="40">
        <v>164410655.08050001</v>
      </c>
      <c r="R188" s="40">
        <f t="shared" si="47"/>
        <v>-5788847.5199999996</v>
      </c>
      <c r="S188" s="40">
        <v>4932319.6524</v>
      </c>
      <c r="T188" s="40">
        <v>0</v>
      </c>
      <c r="U188" s="40">
        <f t="shared" si="42"/>
        <v>4932319.6524</v>
      </c>
      <c r="V188" s="40">
        <v>67065862.875200003</v>
      </c>
      <c r="W188" s="45">
        <f t="shared" si="33"/>
        <v>230619990.08809999</v>
      </c>
    </row>
    <row r="189" spans="1:23" ht="24.9" customHeight="1">
      <c r="A189" s="151"/>
      <c r="B189" s="153"/>
      <c r="C189" s="36">
        <v>7</v>
      </c>
      <c r="D189" s="40" t="s">
        <v>493</v>
      </c>
      <c r="E189" s="40">
        <v>213795769.80340001</v>
      </c>
      <c r="F189" s="40">
        <f t="shared" si="44"/>
        <v>-2141737.0099999998</v>
      </c>
      <c r="G189" s="40">
        <v>6413873.0941000003</v>
      </c>
      <c r="H189" s="40">
        <f t="shared" si="45"/>
        <v>3206936.5470500002</v>
      </c>
      <c r="I189" s="40">
        <f t="shared" si="31"/>
        <v>3206936.5470500002</v>
      </c>
      <c r="J189" s="40">
        <v>65606604.362400003</v>
      </c>
      <c r="K189" s="45">
        <f t="shared" si="32"/>
        <v>280467573.70285004</v>
      </c>
      <c r="L189" s="44"/>
      <c r="M189" s="153"/>
      <c r="N189" s="46">
        <v>6</v>
      </c>
      <c r="O189" s="153"/>
      <c r="P189" s="40" t="s">
        <v>494</v>
      </c>
      <c r="Q189" s="40">
        <v>125063040.67120001</v>
      </c>
      <c r="R189" s="40">
        <f t="shared" si="47"/>
        <v>-5788847.5199999996</v>
      </c>
      <c r="S189" s="40">
        <v>3751891.2201</v>
      </c>
      <c r="T189" s="40">
        <v>0</v>
      </c>
      <c r="U189" s="40">
        <f t="shared" si="42"/>
        <v>3751891.2201</v>
      </c>
      <c r="V189" s="40">
        <v>51955923.442500003</v>
      </c>
      <c r="W189" s="45">
        <f t="shared" si="33"/>
        <v>174982007.81380001</v>
      </c>
    </row>
    <row r="190" spans="1:23" ht="24.9" customHeight="1">
      <c r="A190" s="151"/>
      <c r="B190" s="153"/>
      <c r="C190" s="36">
        <v>8</v>
      </c>
      <c r="D190" s="40" t="s">
        <v>495</v>
      </c>
      <c r="E190" s="40">
        <v>169359161.41530001</v>
      </c>
      <c r="F190" s="40">
        <f t="shared" si="44"/>
        <v>-2141737.0099999998</v>
      </c>
      <c r="G190" s="40">
        <v>5080774.8425000003</v>
      </c>
      <c r="H190" s="40">
        <f t="shared" si="45"/>
        <v>2540387.4212500001</v>
      </c>
      <c r="I190" s="40">
        <f t="shared" si="31"/>
        <v>2540387.4212500001</v>
      </c>
      <c r="J190" s="40">
        <v>64709661.856799997</v>
      </c>
      <c r="K190" s="45">
        <f t="shared" si="32"/>
        <v>234467473.68335003</v>
      </c>
      <c r="L190" s="44"/>
      <c r="M190" s="153"/>
      <c r="N190" s="46">
        <v>7</v>
      </c>
      <c r="O190" s="153"/>
      <c r="P190" s="40" t="s">
        <v>496</v>
      </c>
      <c r="Q190" s="40">
        <v>121833501.7957</v>
      </c>
      <c r="R190" s="40">
        <f t="shared" si="47"/>
        <v>-5788847.5199999996</v>
      </c>
      <c r="S190" s="40">
        <v>3655005.0539000002</v>
      </c>
      <c r="T190" s="40">
        <v>0</v>
      </c>
      <c r="U190" s="40">
        <f t="shared" si="42"/>
        <v>3655005.0539000002</v>
      </c>
      <c r="V190" s="40">
        <v>52587863.228200004</v>
      </c>
      <c r="W190" s="45">
        <f t="shared" si="33"/>
        <v>172287522.55779999</v>
      </c>
    </row>
    <row r="191" spans="1:23" ht="24.9" customHeight="1">
      <c r="A191" s="151"/>
      <c r="B191" s="153"/>
      <c r="C191" s="36">
        <v>9</v>
      </c>
      <c r="D191" s="40" t="s">
        <v>497</v>
      </c>
      <c r="E191" s="40">
        <v>180515990.8145</v>
      </c>
      <c r="F191" s="40">
        <f t="shared" si="44"/>
        <v>-2141737.0099999998</v>
      </c>
      <c r="G191" s="40">
        <v>5415479.7243999997</v>
      </c>
      <c r="H191" s="40">
        <f t="shared" si="45"/>
        <v>2707739.8621999999</v>
      </c>
      <c r="I191" s="40">
        <f t="shared" si="31"/>
        <v>2707739.8621999999</v>
      </c>
      <c r="J191" s="40">
        <v>66336092.792300001</v>
      </c>
      <c r="K191" s="45">
        <f t="shared" si="32"/>
        <v>247418086.45900005</v>
      </c>
      <c r="L191" s="44"/>
      <c r="M191" s="153"/>
      <c r="N191" s="46">
        <v>8</v>
      </c>
      <c r="O191" s="153"/>
      <c r="P191" s="40" t="s">
        <v>498</v>
      </c>
      <c r="Q191" s="40">
        <v>273571965.12339997</v>
      </c>
      <c r="R191" s="40">
        <f t="shared" si="47"/>
        <v>-5788847.5199999996</v>
      </c>
      <c r="S191" s="40">
        <v>8207158.9537000004</v>
      </c>
      <c r="T191" s="40">
        <v>0</v>
      </c>
      <c r="U191" s="40">
        <f t="shared" si="42"/>
        <v>8207158.9537000004</v>
      </c>
      <c r="V191" s="40">
        <v>114376556.56910001</v>
      </c>
      <c r="W191" s="45">
        <f t="shared" si="33"/>
        <v>390366833.12619996</v>
      </c>
    </row>
    <row r="192" spans="1:23" ht="24.9" customHeight="1">
      <c r="A192" s="151"/>
      <c r="B192" s="153"/>
      <c r="C192" s="36">
        <v>10</v>
      </c>
      <c r="D192" s="40" t="s">
        <v>499</v>
      </c>
      <c r="E192" s="40">
        <v>141351055.7617</v>
      </c>
      <c r="F192" s="40">
        <f t="shared" si="44"/>
        <v>-2141737.0099999998</v>
      </c>
      <c r="G192" s="40">
        <v>4240531.6728999997</v>
      </c>
      <c r="H192" s="40">
        <f t="shared" si="45"/>
        <v>2120265.8364499998</v>
      </c>
      <c r="I192" s="40">
        <f t="shared" si="31"/>
        <v>2120265.8364499998</v>
      </c>
      <c r="J192" s="40">
        <v>51526507.495399997</v>
      </c>
      <c r="K192" s="45">
        <f t="shared" si="32"/>
        <v>192856092.08354998</v>
      </c>
      <c r="L192" s="44"/>
      <c r="M192" s="153"/>
      <c r="N192" s="46">
        <v>9</v>
      </c>
      <c r="O192" s="153"/>
      <c r="P192" s="40" t="s">
        <v>500</v>
      </c>
      <c r="Q192" s="40">
        <v>162809337.35210001</v>
      </c>
      <c r="R192" s="40">
        <f t="shared" si="47"/>
        <v>-5788847.5199999996</v>
      </c>
      <c r="S192" s="40">
        <v>4884280.1206</v>
      </c>
      <c r="T192" s="40">
        <v>0</v>
      </c>
      <c r="U192" s="40">
        <f t="shared" si="42"/>
        <v>4884280.1206</v>
      </c>
      <c r="V192" s="40">
        <v>59270742.750200003</v>
      </c>
      <c r="W192" s="45">
        <f t="shared" si="33"/>
        <v>221175512.70290002</v>
      </c>
    </row>
    <row r="193" spans="1:23" ht="24.9" customHeight="1">
      <c r="A193" s="151"/>
      <c r="B193" s="153"/>
      <c r="C193" s="36">
        <v>11</v>
      </c>
      <c r="D193" s="40" t="s">
        <v>501</v>
      </c>
      <c r="E193" s="40">
        <v>192871522.47029999</v>
      </c>
      <c r="F193" s="40">
        <f t="shared" si="44"/>
        <v>-2141737.0099999998</v>
      </c>
      <c r="G193" s="40">
        <v>5786145.6741000004</v>
      </c>
      <c r="H193" s="40">
        <f t="shared" si="45"/>
        <v>2893072.8370500002</v>
      </c>
      <c r="I193" s="40">
        <f t="shared" si="31"/>
        <v>2893072.8370500002</v>
      </c>
      <c r="J193" s="40">
        <v>62449164.7346</v>
      </c>
      <c r="K193" s="45">
        <f t="shared" si="32"/>
        <v>256072023.03195003</v>
      </c>
      <c r="L193" s="44"/>
      <c r="M193" s="153"/>
      <c r="N193" s="46">
        <v>10</v>
      </c>
      <c r="O193" s="153"/>
      <c r="P193" s="40" t="s">
        <v>502</v>
      </c>
      <c r="Q193" s="40">
        <v>203414347.34689999</v>
      </c>
      <c r="R193" s="40">
        <f t="shared" si="47"/>
        <v>-5788847.5199999996</v>
      </c>
      <c r="S193" s="40">
        <v>6102430.4204000002</v>
      </c>
      <c r="T193" s="40">
        <v>0</v>
      </c>
      <c r="U193" s="40">
        <f t="shared" si="42"/>
        <v>6102430.4204000002</v>
      </c>
      <c r="V193" s="40">
        <v>82413959.215599999</v>
      </c>
      <c r="W193" s="45">
        <f t="shared" si="33"/>
        <v>286141889.46289998</v>
      </c>
    </row>
    <row r="194" spans="1:23" ht="24.9" customHeight="1">
      <c r="A194" s="151"/>
      <c r="B194" s="153"/>
      <c r="C194" s="36">
        <v>12</v>
      </c>
      <c r="D194" s="40" t="s">
        <v>503</v>
      </c>
      <c r="E194" s="40">
        <v>166444231.54499999</v>
      </c>
      <c r="F194" s="40">
        <f t="shared" si="44"/>
        <v>-2141737.0099999998</v>
      </c>
      <c r="G194" s="40">
        <v>4993326.9463</v>
      </c>
      <c r="H194" s="40">
        <f t="shared" si="45"/>
        <v>2496663.47315</v>
      </c>
      <c r="I194" s="40">
        <f t="shared" si="31"/>
        <v>2496663.47315</v>
      </c>
      <c r="J194" s="40">
        <v>55530520.505999997</v>
      </c>
      <c r="K194" s="45">
        <f t="shared" si="32"/>
        <v>222329678.51414996</v>
      </c>
      <c r="L194" s="44"/>
      <c r="M194" s="153"/>
      <c r="N194" s="46">
        <v>11</v>
      </c>
      <c r="O194" s="153"/>
      <c r="P194" s="40" t="s">
        <v>504</v>
      </c>
      <c r="Q194" s="40">
        <v>156934257.9939</v>
      </c>
      <c r="R194" s="40">
        <f t="shared" si="47"/>
        <v>-5788847.5199999996</v>
      </c>
      <c r="S194" s="40">
        <v>4708027.7397999996</v>
      </c>
      <c r="T194" s="40">
        <v>0</v>
      </c>
      <c r="U194" s="40">
        <f t="shared" si="42"/>
        <v>4708027.7397999996</v>
      </c>
      <c r="V194" s="40">
        <v>65096549.784699999</v>
      </c>
      <c r="W194" s="45">
        <f t="shared" si="33"/>
        <v>220949987.9984</v>
      </c>
    </row>
    <row r="195" spans="1:23" ht="24.9" customHeight="1">
      <c r="A195" s="151"/>
      <c r="B195" s="153"/>
      <c r="C195" s="36">
        <v>13</v>
      </c>
      <c r="D195" s="40" t="s">
        <v>505</v>
      </c>
      <c r="E195" s="40">
        <v>183446692.6602</v>
      </c>
      <c r="F195" s="40">
        <f t="shared" si="44"/>
        <v>-2141737.0099999998</v>
      </c>
      <c r="G195" s="40">
        <v>5503400.7797999997</v>
      </c>
      <c r="H195" s="40">
        <f t="shared" si="45"/>
        <v>2751700.3898999998</v>
      </c>
      <c r="I195" s="40">
        <f t="shared" ref="I195:I200" si="48">G195-H195</f>
        <v>2751700.3898999998</v>
      </c>
      <c r="J195" s="40">
        <v>63786272.239200003</v>
      </c>
      <c r="K195" s="45">
        <f t="shared" si="32"/>
        <v>247842928.2793</v>
      </c>
      <c r="L195" s="44"/>
      <c r="M195" s="153"/>
      <c r="N195" s="46">
        <v>12</v>
      </c>
      <c r="O195" s="153"/>
      <c r="P195" s="40" t="s">
        <v>506</v>
      </c>
      <c r="Q195" s="40">
        <v>141783237.31900001</v>
      </c>
      <c r="R195" s="40">
        <f t="shared" si="47"/>
        <v>-5788847.5199999996</v>
      </c>
      <c r="S195" s="40">
        <v>4253497.1195999999</v>
      </c>
      <c r="T195" s="40">
        <v>0</v>
      </c>
      <c r="U195" s="40">
        <f t="shared" si="42"/>
        <v>4253497.1195999999</v>
      </c>
      <c r="V195" s="40">
        <v>60405576.363399997</v>
      </c>
      <c r="W195" s="45">
        <f t="shared" si="33"/>
        <v>200653463.28200001</v>
      </c>
    </row>
    <row r="196" spans="1:23" ht="24.9" customHeight="1">
      <c r="A196" s="151"/>
      <c r="B196" s="153"/>
      <c r="C196" s="36">
        <v>14</v>
      </c>
      <c r="D196" s="40" t="s">
        <v>507</v>
      </c>
      <c r="E196" s="40">
        <v>173675664.82780001</v>
      </c>
      <c r="F196" s="40">
        <f t="shared" si="44"/>
        <v>-2141737.0099999998</v>
      </c>
      <c r="G196" s="40">
        <v>5210269.9447999997</v>
      </c>
      <c r="H196" s="40">
        <f t="shared" si="45"/>
        <v>2605134.9723999999</v>
      </c>
      <c r="I196" s="40">
        <f t="shared" si="48"/>
        <v>2605134.9723999999</v>
      </c>
      <c r="J196" s="40">
        <v>62146551.297799997</v>
      </c>
      <c r="K196" s="45">
        <f t="shared" si="32"/>
        <v>236285614.088</v>
      </c>
      <c r="L196" s="44"/>
      <c r="M196" s="153"/>
      <c r="N196" s="46">
        <v>13</v>
      </c>
      <c r="O196" s="153"/>
      <c r="P196" s="40" t="s">
        <v>508</v>
      </c>
      <c r="Q196" s="40">
        <v>127854165.63789999</v>
      </c>
      <c r="R196" s="40">
        <f t="shared" si="47"/>
        <v>-5788847.5199999996</v>
      </c>
      <c r="S196" s="40">
        <v>3835624.9690999999</v>
      </c>
      <c r="T196" s="40">
        <v>0</v>
      </c>
      <c r="U196" s="40">
        <f t="shared" si="42"/>
        <v>3835624.9690999999</v>
      </c>
      <c r="V196" s="40">
        <v>53614250.392399997</v>
      </c>
      <c r="W196" s="45">
        <f t="shared" si="33"/>
        <v>179515193.47939998</v>
      </c>
    </row>
    <row r="197" spans="1:23" ht="24.9" customHeight="1">
      <c r="A197" s="151"/>
      <c r="B197" s="153"/>
      <c r="C197" s="36">
        <v>15</v>
      </c>
      <c r="D197" s="40" t="s">
        <v>509</v>
      </c>
      <c r="E197" s="40">
        <v>196999472.14660001</v>
      </c>
      <c r="F197" s="40">
        <f t="shared" si="44"/>
        <v>-2141737.0099999998</v>
      </c>
      <c r="G197" s="40">
        <v>5909984.1644000001</v>
      </c>
      <c r="H197" s="40">
        <f t="shared" si="45"/>
        <v>2954992.0822000001</v>
      </c>
      <c r="I197" s="40">
        <f t="shared" si="48"/>
        <v>2954992.0822000001</v>
      </c>
      <c r="J197" s="40">
        <v>66444273.441200003</v>
      </c>
      <c r="K197" s="45">
        <f t="shared" si="32"/>
        <v>264257000.66000003</v>
      </c>
      <c r="L197" s="44"/>
      <c r="M197" s="153"/>
      <c r="N197" s="46">
        <v>14</v>
      </c>
      <c r="O197" s="153"/>
      <c r="P197" s="40" t="s">
        <v>510</v>
      </c>
      <c r="Q197" s="40">
        <v>146984600.14579999</v>
      </c>
      <c r="R197" s="40">
        <f t="shared" si="47"/>
        <v>-5788847.5199999996</v>
      </c>
      <c r="S197" s="40">
        <v>4409538.0044</v>
      </c>
      <c r="T197" s="40">
        <v>0</v>
      </c>
      <c r="U197" s="40">
        <f t="shared" si="42"/>
        <v>4409538.0044</v>
      </c>
      <c r="V197" s="40">
        <v>55552331.968800001</v>
      </c>
      <c r="W197" s="45">
        <f t="shared" si="33"/>
        <v>201157622.59899998</v>
      </c>
    </row>
    <row r="198" spans="1:23" ht="24.9" customHeight="1">
      <c r="A198" s="151"/>
      <c r="B198" s="153"/>
      <c r="C198" s="36">
        <v>16</v>
      </c>
      <c r="D198" s="40" t="s">
        <v>511</v>
      </c>
      <c r="E198" s="40">
        <v>185145708.7006</v>
      </c>
      <c r="F198" s="40">
        <f t="shared" si="44"/>
        <v>-2141737.0099999998</v>
      </c>
      <c r="G198" s="40">
        <v>5554371.2609999999</v>
      </c>
      <c r="H198" s="40">
        <f t="shared" si="45"/>
        <v>2777185.6305</v>
      </c>
      <c r="I198" s="40">
        <f t="shared" si="48"/>
        <v>2777185.6305</v>
      </c>
      <c r="J198" s="40">
        <v>63714107.5066</v>
      </c>
      <c r="K198" s="45">
        <f t="shared" si="32"/>
        <v>249495264.82770002</v>
      </c>
      <c r="L198" s="44"/>
      <c r="M198" s="153"/>
      <c r="N198" s="46">
        <v>15</v>
      </c>
      <c r="O198" s="153"/>
      <c r="P198" s="40" t="s">
        <v>512</v>
      </c>
      <c r="Q198" s="40">
        <v>153954336.25440001</v>
      </c>
      <c r="R198" s="40">
        <f t="shared" si="47"/>
        <v>-5788847.5199999996</v>
      </c>
      <c r="S198" s="40">
        <v>4618630.0876000002</v>
      </c>
      <c r="T198" s="40">
        <v>0</v>
      </c>
      <c r="U198" s="40">
        <f t="shared" si="42"/>
        <v>4618630.0876000002</v>
      </c>
      <c r="V198" s="40">
        <v>64617312.167999998</v>
      </c>
      <c r="W198" s="45">
        <f t="shared" si="33"/>
        <v>217401430.99000001</v>
      </c>
    </row>
    <row r="199" spans="1:23" ht="24.9" customHeight="1">
      <c r="A199" s="151"/>
      <c r="B199" s="153"/>
      <c r="C199" s="36">
        <v>17</v>
      </c>
      <c r="D199" s="40" t="s">
        <v>513</v>
      </c>
      <c r="E199" s="40">
        <v>185875595.04280001</v>
      </c>
      <c r="F199" s="40">
        <f t="shared" si="44"/>
        <v>-2141737.0099999998</v>
      </c>
      <c r="G199" s="40">
        <v>5576267.8513000002</v>
      </c>
      <c r="H199" s="40">
        <f t="shared" si="45"/>
        <v>2788133.9256500001</v>
      </c>
      <c r="I199" s="40">
        <f t="shared" si="48"/>
        <v>2788133.9256500001</v>
      </c>
      <c r="J199" s="40">
        <v>66976671.081900001</v>
      </c>
      <c r="K199" s="45">
        <f t="shared" si="32"/>
        <v>253498663.04035002</v>
      </c>
      <c r="L199" s="44"/>
      <c r="M199" s="153"/>
      <c r="N199" s="46">
        <v>16</v>
      </c>
      <c r="O199" s="153"/>
      <c r="P199" s="40" t="s">
        <v>514</v>
      </c>
      <c r="Q199" s="40">
        <v>186670095.79210001</v>
      </c>
      <c r="R199" s="40">
        <f t="shared" si="47"/>
        <v>-5788847.5199999996</v>
      </c>
      <c r="S199" s="40">
        <v>5600102.8738000002</v>
      </c>
      <c r="T199" s="40">
        <v>0</v>
      </c>
      <c r="U199" s="40">
        <f t="shared" si="42"/>
        <v>5600102.8738000002</v>
      </c>
      <c r="V199" s="40">
        <v>75039999.381099999</v>
      </c>
      <c r="W199" s="45">
        <f t="shared" si="33"/>
        <v>261521350.52700001</v>
      </c>
    </row>
    <row r="200" spans="1:23" ht="24.9" customHeight="1">
      <c r="A200" s="151"/>
      <c r="B200" s="154"/>
      <c r="C200" s="36">
        <v>18</v>
      </c>
      <c r="D200" s="40" t="s">
        <v>515</v>
      </c>
      <c r="E200" s="40">
        <v>204981474.81709999</v>
      </c>
      <c r="F200" s="40">
        <f t="shared" si="44"/>
        <v>-2141737.0099999998</v>
      </c>
      <c r="G200" s="40">
        <v>6149444.2445</v>
      </c>
      <c r="H200" s="40">
        <f t="shared" si="45"/>
        <v>3074722.12225</v>
      </c>
      <c r="I200" s="40">
        <f t="shared" si="48"/>
        <v>3074722.12225</v>
      </c>
      <c r="J200" s="40">
        <v>68889501.646899998</v>
      </c>
      <c r="K200" s="45">
        <f t="shared" ref="K200:K263" si="49">E200+F200+G200-H200+J200</f>
        <v>274803961.57625002</v>
      </c>
      <c r="L200" s="44"/>
      <c r="M200" s="153"/>
      <c r="N200" s="46">
        <v>17</v>
      </c>
      <c r="O200" s="153"/>
      <c r="P200" s="40" t="s">
        <v>516</v>
      </c>
      <c r="Q200" s="40">
        <v>156705817.4569</v>
      </c>
      <c r="R200" s="40">
        <f t="shared" si="47"/>
        <v>-5788847.5199999996</v>
      </c>
      <c r="S200" s="40">
        <v>4701174.5236999998</v>
      </c>
      <c r="T200" s="40">
        <v>0</v>
      </c>
      <c r="U200" s="40">
        <f t="shared" si="42"/>
        <v>4701174.5236999998</v>
      </c>
      <c r="V200" s="40">
        <v>59171466.405299999</v>
      </c>
      <c r="W200" s="45">
        <f t="shared" ref="W200:W263" si="50">Q200+R200+S200-T200+V200</f>
        <v>214789610.86589998</v>
      </c>
    </row>
    <row r="201" spans="1:23" ht="24.9" customHeight="1">
      <c r="A201" s="36"/>
      <c r="B201" s="146" t="s">
        <v>517</v>
      </c>
      <c r="C201" s="147"/>
      <c r="D201" s="41"/>
      <c r="E201" s="41">
        <f>SUM(E183:E200)</f>
        <v>3283537340.0831003</v>
      </c>
      <c r="F201" s="41">
        <f t="shared" ref="F201:K201" si="51">SUM(F183:F200)</f>
        <v>-38551266.179999977</v>
      </c>
      <c r="G201" s="41">
        <f t="shared" si="51"/>
        <v>98506120.202399984</v>
      </c>
      <c r="H201" s="41">
        <f t="shared" si="51"/>
        <v>49253060.101199992</v>
      </c>
      <c r="I201" s="41">
        <f t="shared" si="51"/>
        <v>49253060.101199992</v>
      </c>
      <c r="J201" s="41">
        <f t="shared" si="51"/>
        <v>1119575931.9837999</v>
      </c>
      <c r="K201" s="41">
        <f t="shared" si="51"/>
        <v>4413815065.9881001</v>
      </c>
      <c r="L201" s="44"/>
      <c r="M201" s="153"/>
      <c r="N201" s="46">
        <v>18</v>
      </c>
      <c r="O201" s="153"/>
      <c r="P201" s="40" t="s">
        <v>518</v>
      </c>
      <c r="Q201" s="40">
        <v>145641755.65090001</v>
      </c>
      <c r="R201" s="40">
        <f t="shared" si="47"/>
        <v>-5788847.5199999996</v>
      </c>
      <c r="S201" s="40">
        <v>4369252.6694999998</v>
      </c>
      <c r="T201" s="40">
        <v>0</v>
      </c>
      <c r="U201" s="40">
        <f t="shared" si="42"/>
        <v>4369252.6694999998</v>
      </c>
      <c r="V201" s="40">
        <v>61520342.067500003</v>
      </c>
      <c r="W201" s="45">
        <f t="shared" si="50"/>
        <v>205742502.86789998</v>
      </c>
    </row>
    <row r="202" spans="1:23" ht="24.9" customHeight="1">
      <c r="A202" s="151">
        <v>10</v>
      </c>
      <c r="B202" s="152" t="s">
        <v>519</v>
      </c>
      <c r="C202" s="36">
        <v>1</v>
      </c>
      <c r="D202" s="40" t="s">
        <v>520</v>
      </c>
      <c r="E202" s="40">
        <v>143540570.80759999</v>
      </c>
      <c r="F202" s="40">
        <v>0</v>
      </c>
      <c r="G202" s="40">
        <v>4306217.1242000004</v>
      </c>
      <c r="H202" s="40">
        <f t="shared" si="45"/>
        <v>2153108.5621000002</v>
      </c>
      <c r="I202" s="40">
        <f t="shared" ref="I202:I265" si="52">G202-H202</f>
        <v>2153108.5621000002</v>
      </c>
      <c r="J202" s="53">
        <v>60551678.5009</v>
      </c>
      <c r="K202" s="45">
        <f t="shared" si="49"/>
        <v>206245357.87059999</v>
      </c>
      <c r="L202" s="44"/>
      <c r="M202" s="153"/>
      <c r="N202" s="46">
        <v>19</v>
      </c>
      <c r="O202" s="153"/>
      <c r="P202" s="40" t="s">
        <v>521</v>
      </c>
      <c r="Q202" s="40">
        <v>138336685.4183</v>
      </c>
      <c r="R202" s="40">
        <f t="shared" si="47"/>
        <v>-5788847.5199999996</v>
      </c>
      <c r="S202" s="40">
        <v>4150100.5625999998</v>
      </c>
      <c r="T202" s="40">
        <v>0</v>
      </c>
      <c r="U202" s="40">
        <f t="shared" si="42"/>
        <v>4150100.5625999998</v>
      </c>
      <c r="V202" s="40">
        <v>54318753.6109</v>
      </c>
      <c r="W202" s="45">
        <f t="shared" si="50"/>
        <v>191016692.07179999</v>
      </c>
    </row>
    <row r="203" spans="1:23" ht="24.9" customHeight="1">
      <c r="A203" s="151"/>
      <c r="B203" s="153"/>
      <c r="C203" s="36">
        <v>2</v>
      </c>
      <c r="D203" s="40" t="s">
        <v>522</v>
      </c>
      <c r="E203" s="40">
        <v>156453526.90979999</v>
      </c>
      <c r="F203" s="40">
        <v>0</v>
      </c>
      <c r="G203" s="40">
        <v>4693605.8073000005</v>
      </c>
      <c r="H203" s="40">
        <f t="shared" si="45"/>
        <v>2346802.9036500002</v>
      </c>
      <c r="I203" s="40">
        <f t="shared" si="52"/>
        <v>2346802.9036500002</v>
      </c>
      <c r="J203" s="53">
        <v>65321860.357900001</v>
      </c>
      <c r="K203" s="45">
        <f t="shared" si="49"/>
        <v>224122190.17135</v>
      </c>
      <c r="L203" s="44"/>
      <c r="M203" s="154"/>
      <c r="N203" s="46">
        <v>20</v>
      </c>
      <c r="O203" s="154"/>
      <c r="P203" s="40" t="s">
        <v>523</v>
      </c>
      <c r="Q203" s="40">
        <v>187630263.0817</v>
      </c>
      <c r="R203" s="40">
        <f t="shared" si="47"/>
        <v>-5788847.5199999996</v>
      </c>
      <c r="S203" s="40">
        <v>5628907.8924000002</v>
      </c>
      <c r="T203" s="40">
        <v>0</v>
      </c>
      <c r="U203" s="40">
        <f t="shared" si="42"/>
        <v>5628907.8924000002</v>
      </c>
      <c r="V203" s="40">
        <v>78304157.757100001</v>
      </c>
      <c r="W203" s="45">
        <f t="shared" si="50"/>
        <v>265774481.2112</v>
      </c>
    </row>
    <row r="204" spans="1:23" ht="24.9" customHeight="1">
      <c r="A204" s="151"/>
      <c r="B204" s="153"/>
      <c r="C204" s="36">
        <v>3</v>
      </c>
      <c r="D204" s="40" t="s">
        <v>524</v>
      </c>
      <c r="E204" s="40">
        <v>133741983.2313</v>
      </c>
      <c r="F204" s="40">
        <v>0</v>
      </c>
      <c r="G204" s="40">
        <v>4012259.4969000001</v>
      </c>
      <c r="H204" s="40">
        <f t="shared" si="45"/>
        <v>2006129.7484500001</v>
      </c>
      <c r="I204" s="40">
        <f t="shared" si="52"/>
        <v>2006129.7484500001</v>
      </c>
      <c r="J204" s="53">
        <v>58150573.115099996</v>
      </c>
      <c r="K204" s="45">
        <f t="shared" si="49"/>
        <v>193898686.09484997</v>
      </c>
      <c r="L204" s="44"/>
      <c r="M204" s="36"/>
      <c r="N204" s="147" t="s">
        <v>525</v>
      </c>
      <c r="O204" s="148"/>
      <c r="P204" s="41"/>
      <c r="Q204" s="41">
        <f>SUM(Q184:Q203)</f>
        <v>3413448732.4091001</v>
      </c>
      <c r="R204" s="41">
        <f t="shared" ref="R204:T204" si="53">SUM(R184:R203)</f>
        <v>-115776950.39999995</v>
      </c>
      <c r="S204" s="41">
        <f t="shared" si="53"/>
        <v>102403461.97219998</v>
      </c>
      <c r="T204" s="41">
        <f t="shared" si="53"/>
        <v>0</v>
      </c>
      <c r="U204" s="41">
        <f t="shared" si="42"/>
        <v>102403461.97219998</v>
      </c>
      <c r="V204" s="41">
        <f>SUM(V184:V203)</f>
        <v>1387978202.8038001</v>
      </c>
      <c r="W204" s="41">
        <f>SUM(W184:W203)</f>
        <v>4788053446.7851009</v>
      </c>
    </row>
    <row r="205" spans="1:23" ht="33.75" customHeight="1">
      <c r="A205" s="151"/>
      <c r="B205" s="153"/>
      <c r="C205" s="36">
        <v>4</v>
      </c>
      <c r="D205" s="40" t="s">
        <v>526</v>
      </c>
      <c r="E205" s="40">
        <v>192211413.07620001</v>
      </c>
      <c r="F205" s="40">
        <v>0</v>
      </c>
      <c r="G205" s="40">
        <v>5766342.3923000004</v>
      </c>
      <c r="H205" s="40">
        <f t="shared" si="45"/>
        <v>2883171.1961500002</v>
      </c>
      <c r="I205" s="40">
        <f t="shared" si="52"/>
        <v>2883171.1961500002</v>
      </c>
      <c r="J205" s="53">
        <v>74500204.308400005</v>
      </c>
      <c r="K205" s="45">
        <f t="shared" si="49"/>
        <v>269594788.58074999</v>
      </c>
      <c r="L205" s="44"/>
      <c r="M205" s="152">
        <v>28</v>
      </c>
      <c r="N205" s="46">
        <v>1</v>
      </c>
      <c r="O205" s="158" t="s">
        <v>110</v>
      </c>
      <c r="P205" s="48" t="s">
        <v>527</v>
      </c>
      <c r="Q205" s="40">
        <v>180860489.35429999</v>
      </c>
      <c r="R205" s="40">
        <f t="shared" ref="R205:R222" si="54">-2620951.49</f>
        <v>-2620951.4900000002</v>
      </c>
      <c r="S205" s="40">
        <v>5425814.6805999996</v>
      </c>
      <c r="T205" s="40">
        <f t="shared" ref="T205:T222" si="55">S205/2</f>
        <v>2712907.3402999998</v>
      </c>
      <c r="U205" s="40">
        <f t="shared" si="42"/>
        <v>2712907.3402999998</v>
      </c>
      <c r="V205" s="40">
        <v>75168515.673299998</v>
      </c>
      <c r="W205" s="45">
        <f t="shared" si="50"/>
        <v>256120960.87789997</v>
      </c>
    </row>
    <row r="206" spans="1:23" ht="24.9" customHeight="1">
      <c r="A206" s="151"/>
      <c r="B206" s="153"/>
      <c r="C206" s="36">
        <v>5</v>
      </c>
      <c r="D206" s="40" t="s">
        <v>528</v>
      </c>
      <c r="E206" s="40">
        <v>174882518.4822</v>
      </c>
      <c r="F206" s="40">
        <v>0</v>
      </c>
      <c r="G206" s="40">
        <v>5246475.5544999996</v>
      </c>
      <c r="H206" s="40">
        <f t="shared" si="45"/>
        <v>2623237.7772499998</v>
      </c>
      <c r="I206" s="40">
        <f t="shared" si="52"/>
        <v>2623237.7772499998</v>
      </c>
      <c r="J206" s="53">
        <v>73320849.175099999</v>
      </c>
      <c r="K206" s="45">
        <f t="shared" si="49"/>
        <v>250826605.43455002</v>
      </c>
      <c r="L206" s="44"/>
      <c r="M206" s="153"/>
      <c r="N206" s="46">
        <v>2</v>
      </c>
      <c r="O206" s="159"/>
      <c r="P206" s="48" t="s">
        <v>529</v>
      </c>
      <c r="Q206" s="40">
        <v>191321391.94440001</v>
      </c>
      <c r="R206" s="40">
        <f t="shared" si="54"/>
        <v>-2620951.4900000002</v>
      </c>
      <c r="S206" s="40">
        <v>5739641.7582999999</v>
      </c>
      <c r="T206" s="40">
        <f t="shared" si="55"/>
        <v>2869820.8791499999</v>
      </c>
      <c r="U206" s="40">
        <f t="shared" si="42"/>
        <v>2869820.8791499999</v>
      </c>
      <c r="V206" s="40">
        <v>80269618.680099994</v>
      </c>
      <c r="W206" s="45">
        <f t="shared" si="50"/>
        <v>271839880.01365</v>
      </c>
    </row>
    <row r="207" spans="1:23" ht="24.9" customHeight="1">
      <c r="A207" s="151"/>
      <c r="B207" s="153"/>
      <c r="C207" s="36">
        <v>6</v>
      </c>
      <c r="D207" s="40" t="s">
        <v>530</v>
      </c>
      <c r="E207" s="40">
        <v>179139285.94400001</v>
      </c>
      <c r="F207" s="40">
        <v>0</v>
      </c>
      <c r="G207" s="40">
        <v>5374178.5783000002</v>
      </c>
      <c r="H207" s="40">
        <f t="shared" si="45"/>
        <v>2687089.2891500001</v>
      </c>
      <c r="I207" s="40">
        <f t="shared" si="52"/>
        <v>2687089.2891500001</v>
      </c>
      <c r="J207" s="53">
        <v>73692969.343400002</v>
      </c>
      <c r="K207" s="45">
        <f t="shared" si="49"/>
        <v>255519344.57655001</v>
      </c>
      <c r="L207" s="44"/>
      <c r="M207" s="153"/>
      <c r="N207" s="46">
        <v>3</v>
      </c>
      <c r="O207" s="159"/>
      <c r="P207" s="48" t="s">
        <v>531</v>
      </c>
      <c r="Q207" s="40">
        <v>194780924.90619999</v>
      </c>
      <c r="R207" s="40">
        <f t="shared" si="54"/>
        <v>-2620951.4900000002</v>
      </c>
      <c r="S207" s="40">
        <v>5843427.7472000001</v>
      </c>
      <c r="T207" s="40">
        <f t="shared" si="55"/>
        <v>2921713.8736</v>
      </c>
      <c r="U207" s="40">
        <f t="shared" si="42"/>
        <v>2921713.8736</v>
      </c>
      <c r="V207" s="40">
        <v>82355352.223199993</v>
      </c>
      <c r="W207" s="45">
        <f t="shared" si="50"/>
        <v>277437039.51300001</v>
      </c>
    </row>
    <row r="208" spans="1:23" ht="24.9" customHeight="1">
      <c r="A208" s="151"/>
      <c r="B208" s="153"/>
      <c r="C208" s="36">
        <v>7</v>
      </c>
      <c r="D208" s="40" t="s">
        <v>532</v>
      </c>
      <c r="E208" s="40">
        <v>189920698.51910001</v>
      </c>
      <c r="F208" s="40">
        <v>0</v>
      </c>
      <c r="G208" s="40">
        <v>5697620.9556</v>
      </c>
      <c r="H208" s="40">
        <f t="shared" si="45"/>
        <v>2848810.4778</v>
      </c>
      <c r="I208" s="40">
        <f t="shared" si="52"/>
        <v>2848810.4778</v>
      </c>
      <c r="J208" s="53">
        <v>71043606.645300001</v>
      </c>
      <c r="K208" s="45">
        <f t="shared" si="49"/>
        <v>263813115.64219999</v>
      </c>
      <c r="L208" s="44"/>
      <c r="M208" s="153"/>
      <c r="N208" s="46">
        <v>4</v>
      </c>
      <c r="O208" s="159"/>
      <c r="P208" s="48" t="s">
        <v>533</v>
      </c>
      <c r="Q208" s="40">
        <v>144472353.98120001</v>
      </c>
      <c r="R208" s="40">
        <f t="shared" si="54"/>
        <v>-2620951.4900000002</v>
      </c>
      <c r="S208" s="40">
        <v>4334170.6194000002</v>
      </c>
      <c r="T208" s="40">
        <f t="shared" si="55"/>
        <v>2167085.3097000001</v>
      </c>
      <c r="U208" s="40">
        <f t="shared" si="42"/>
        <v>2167085.3097000001</v>
      </c>
      <c r="V208" s="40">
        <v>62811069.385300003</v>
      </c>
      <c r="W208" s="45">
        <f t="shared" si="50"/>
        <v>206829557.18619999</v>
      </c>
    </row>
    <row r="209" spans="1:23" ht="24.9" customHeight="1">
      <c r="A209" s="151"/>
      <c r="B209" s="153"/>
      <c r="C209" s="36">
        <v>8</v>
      </c>
      <c r="D209" s="40" t="s">
        <v>534</v>
      </c>
      <c r="E209" s="40">
        <v>178623195.4601</v>
      </c>
      <c r="F209" s="40">
        <v>0</v>
      </c>
      <c r="G209" s="40">
        <v>5358695.8638000004</v>
      </c>
      <c r="H209" s="40">
        <f t="shared" si="45"/>
        <v>2679347.9319000002</v>
      </c>
      <c r="I209" s="40">
        <f t="shared" si="52"/>
        <v>2679347.9319000002</v>
      </c>
      <c r="J209" s="53">
        <v>68244332.679499999</v>
      </c>
      <c r="K209" s="45">
        <f t="shared" si="49"/>
        <v>249546876.0715</v>
      </c>
      <c r="L209" s="44"/>
      <c r="M209" s="153"/>
      <c r="N209" s="46">
        <v>5</v>
      </c>
      <c r="O209" s="159"/>
      <c r="P209" s="40" t="s">
        <v>535</v>
      </c>
      <c r="Q209" s="40">
        <v>151389542.6205</v>
      </c>
      <c r="R209" s="40">
        <f t="shared" si="54"/>
        <v>-2620951.4900000002</v>
      </c>
      <c r="S209" s="40">
        <v>4541686.2785999998</v>
      </c>
      <c r="T209" s="40">
        <f t="shared" si="55"/>
        <v>2270843.1392999999</v>
      </c>
      <c r="U209" s="40">
        <f t="shared" si="42"/>
        <v>2270843.1392999999</v>
      </c>
      <c r="V209" s="40">
        <v>69344569.239700004</v>
      </c>
      <c r="W209" s="45">
        <f t="shared" si="50"/>
        <v>220384003.50950003</v>
      </c>
    </row>
    <row r="210" spans="1:23" ht="24.9" customHeight="1">
      <c r="A210" s="151"/>
      <c r="B210" s="153"/>
      <c r="C210" s="36">
        <v>9</v>
      </c>
      <c r="D210" s="40" t="s">
        <v>536</v>
      </c>
      <c r="E210" s="40">
        <v>168071263.53259999</v>
      </c>
      <c r="F210" s="40">
        <v>0</v>
      </c>
      <c r="G210" s="40">
        <v>5042137.9060000004</v>
      </c>
      <c r="H210" s="40">
        <f t="shared" si="45"/>
        <v>2521068.9530000002</v>
      </c>
      <c r="I210" s="40">
        <f t="shared" si="52"/>
        <v>2521068.9530000002</v>
      </c>
      <c r="J210" s="53">
        <v>65793788.471299998</v>
      </c>
      <c r="K210" s="45">
        <f t="shared" si="49"/>
        <v>236386120.95689997</v>
      </c>
      <c r="L210" s="44"/>
      <c r="M210" s="153"/>
      <c r="N210" s="46">
        <v>6</v>
      </c>
      <c r="O210" s="159"/>
      <c r="P210" s="40" t="s">
        <v>537</v>
      </c>
      <c r="Q210" s="40">
        <v>232650125.84799999</v>
      </c>
      <c r="R210" s="40">
        <f t="shared" si="54"/>
        <v>-2620951.4900000002</v>
      </c>
      <c r="S210" s="40">
        <v>6979503.7753999997</v>
      </c>
      <c r="T210" s="40">
        <f t="shared" si="55"/>
        <v>3489751.8876999998</v>
      </c>
      <c r="U210" s="40">
        <f t="shared" si="42"/>
        <v>3489751.8876999998</v>
      </c>
      <c r="V210" s="40">
        <v>98798412.158800006</v>
      </c>
      <c r="W210" s="45">
        <f t="shared" si="50"/>
        <v>332317338.40450001</v>
      </c>
    </row>
    <row r="211" spans="1:23" ht="24.9" customHeight="1">
      <c r="A211" s="151"/>
      <c r="B211" s="153"/>
      <c r="C211" s="36">
        <v>10</v>
      </c>
      <c r="D211" s="40" t="s">
        <v>538</v>
      </c>
      <c r="E211" s="40">
        <v>187941185.38960001</v>
      </c>
      <c r="F211" s="40">
        <v>0</v>
      </c>
      <c r="G211" s="40">
        <v>5638235.5617000004</v>
      </c>
      <c r="H211" s="40">
        <f t="shared" si="45"/>
        <v>2819117.7808500002</v>
      </c>
      <c r="I211" s="40">
        <f t="shared" si="52"/>
        <v>2819117.7808500002</v>
      </c>
      <c r="J211" s="53">
        <v>76898518.792899996</v>
      </c>
      <c r="K211" s="45">
        <f t="shared" si="49"/>
        <v>267658821.96335</v>
      </c>
      <c r="L211" s="44"/>
      <c r="M211" s="153"/>
      <c r="N211" s="46">
        <v>7</v>
      </c>
      <c r="O211" s="159"/>
      <c r="P211" s="40" t="s">
        <v>539</v>
      </c>
      <c r="Q211" s="40">
        <v>163851196.01629999</v>
      </c>
      <c r="R211" s="40">
        <f t="shared" si="54"/>
        <v>-2620951.4900000002</v>
      </c>
      <c r="S211" s="40">
        <v>4915535.8805</v>
      </c>
      <c r="T211" s="40">
        <f t="shared" si="55"/>
        <v>2457767.94025</v>
      </c>
      <c r="U211" s="40">
        <f t="shared" si="42"/>
        <v>2457767.94025</v>
      </c>
      <c r="V211" s="40">
        <v>69003946.385700002</v>
      </c>
      <c r="W211" s="45">
        <f t="shared" si="50"/>
        <v>232691958.85224998</v>
      </c>
    </row>
    <row r="212" spans="1:23" ht="24.9" customHeight="1">
      <c r="A212" s="151"/>
      <c r="B212" s="153"/>
      <c r="C212" s="36">
        <v>11</v>
      </c>
      <c r="D212" s="40" t="s">
        <v>540</v>
      </c>
      <c r="E212" s="40">
        <v>157928521.27149999</v>
      </c>
      <c r="F212" s="40">
        <v>0</v>
      </c>
      <c r="G212" s="40">
        <v>4737855.6381000001</v>
      </c>
      <c r="H212" s="40">
        <f t="shared" si="45"/>
        <v>2368927.81905</v>
      </c>
      <c r="I212" s="40">
        <f t="shared" si="52"/>
        <v>2368927.81905</v>
      </c>
      <c r="J212" s="53">
        <v>60347012.408299997</v>
      </c>
      <c r="K212" s="45">
        <f t="shared" si="49"/>
        <v>220644461.49884999</v>
      </c>
      <c r="L212" s="44"/>
      <c r="M212" s="153"/>
      <c r="N212" s="46">
        <v>8</v>
      </c>
      <c r="O212" s="159"/>
      <c r="P212" s="40" t="s">
        <v>541</v>
      </c>
      <c r="Q212" s="40">
        <v>165080830.4066</v>
      </c>
      <c r="R212" s="40">
        <f t="shared" si="54"/>
        <v>-2620951.4900000002</v>
      </c>
      <c r="S212" s="40">
        <v>4952424.9122000001</v>
      </c>
      <c r="T212" s="40">
        <f t="shared" si="55"/>
        <v>2476212.4561000001</v>
      </c>
      <c r="U212" s="40">
        <f t="shared" si="42"/>
        <v>2476212.4561000001</v>
      </c>
      <c r="V212" s="40">
        <v>75290517.928499997</v>
      </c>
      <c r="W212" s="45">
        <f t="shared" si="50"/>
        <v>240226609.3012</v>
      </c>
    </row>
    <row r="213" spans="1:23" ht="24.9" customHeight="1">
      <c r="A213" s="151"/>
      <c r="B213" s="153"/>
      <c r="C213" s="36">
        <v>12</v>
      </c>
      <c r="D213" s="40" t="s">
        <v>542</v>
      </c>
      <c r="E213" s="40">
        <v>162879385.33719999</v>
      </c>
      <c r="F213" s="40">
        <v>0</v>
      </c>
      <c r="G213" s="40">
        <v>4886381.5601000004</v>
      </c>
      <c r="H213" s="40">
        <f t="shared" si="45"/>
        <v>2443190.7800500002</v>
      </c>
      <c r="I213" s="40">
        <f t="shared" si="52"/>
        <v>2443190.7800500002</v>
      </c>
      <c r="J213" s="53">
        <v>66480881.781999998</v>
      </c>
      <c r="K213" s="45">
        <f t="shared" si="49"/>
        <v>231803457.89924997</v>
      </c>
      <c r="L213" s="44"/>
      <c r="M213" s="153"/>
      <c r="N213" s="46">
        <v>9</v>
      </c>
      <c r="O213" s="159"/>
      <c r="P213" s="40" t="s">
        <v>543</v>
      </c>
      <c r="Q213" s="40">
        <v>198467467.87850001</v>
      </c>
      <c r="R213" s="40">
        <f t="shared" si="54"/>
        <v>-2620951.4900000002</v>
      </c>
      <c r="S213" s="40">
        <v>5954024.0363999996</v>
      </c>
      <c r="T213" s="40">
        <f t="shared" si="55"/>
        <v>2977012.0181999998</v>
      </c>
      <c r="U213" s="40">
        <f t="shared" si="42"/>
        <v>2977012.0181999998</v>
      </c>
      <c r="V213" s="40">
        <v>82897451.568399996</v>
      </c>
      <c r="W213" s="45">
        <f t="shared" si="50"/>
        <v>281720979.97509998</v>
      </c>
    </row>
    <row r="214" spans="1:23" ht="24.9" customHeight="1">
      <c r="A214" s="151"/>
      <c r="B214" s="153"/>
      <c r="C214" s="36">
        <v>13</v>
      </c>
      <c r="D214" s="40" t="s">
        <v>544</v>
      </c>
      <c r="E214" s="40">
        <v>149194001.8691</v>
      </c>
      <c r="F214" s="40">
        <v>0</v>
      </c>
      <c r="G214" s="40">
        <v>4475820.0560999997</v>
      </c>
      <c r="H214" s="40">
        <f t="shared" si="45"/>
        <v>2237910.0280499998</v>
      </c>
      <c r="I214" s="40">
        <f t="shared" si="52"/>
        <v>2237910.0280499998</v>
      </c>
      <c r="J214" s="53">
        <v>63916442.222400002</v>
      </c>
      <c r="K214" s="45">
        <f t="shared" si="49"/>
        <v>215348354.11955002</v>
      </c>
      <c r="L214" s="44"/>
      <c r="M214" s="153"/>
      <c r="N214" s="46">
        <v>10</v>
      </c>
      <c r="O214" s="159"/>
      <c r="P214" s="40" t="s">
        <v>545</v>
      </c>
      <c r="Q214" s="40">
        <v>215361557.794</v>
      </c>
      <c r="R214" s="40">
        <f t="shared" si="54"/>
        <v>-2620951.4900000002</v>
      </c>
      <c r="S214" s="40">
        <v>6460846.7337999996</v>
      </c>
      <c r="T214" s="40">
        <f t="shared" si="55"/>
        <v>3230423.3668999998</v>
      </c>
      <c r="U214" s="40">
        <f t="shared" si="42"/>
        <v>3230423.3668999998</v>
      </c>
      <c r="V214" s="40">
        <v>90479399.996900007</v>
      </c>
      <c r="W214" s="45">
        <f t="shared" si="50"/>
        <v>306450429.66780001</v>
      </c>
    </row>
    <row r="215" spans="1:23" ht="24.9" customHeight="1">
      <c r="A215" s="151"/>
      <c r="B215" s="153"/>
      <c r="C215" s="36">
        <v>14</v>
      </c>
      <c r="D215" s="40" t="s">
        <v>546</v>
      </c>
      <c r="E215" s="40">
        <v>146115391.11489999</v>
      </c>
      <c r="F215" s="40">
        <v>0</v>
      </c>
      <c r="G215" s="40">
        <v>4383461.7334000003</v>
      </c>
      <c r="H215" s="40">
        <f t="shared" si="45"/>
        <v>2191730.8667000001</v>
      </c>
      <c r="I215" s="40">
        <f t="shared" si="52"/>
        <v>2191730.8667000001</v>
      </c>
      <c r="J215" s="53">
        <v>61961083.6382</v>
      </c>
      <c r="K215" s="45">
        <f t="shared" si="49"/>
        <v>210268205.61979997</v>
      </c>
      <c r="L215" s="44"/>
      <c r="M215" s="153"/>
      <c r="N215" s="46">
        <v>11</v>
      </c>
      <c r="O215" s="159"/>
      <c r="P215" s="40" t="s">
        <v>547</v>
      </c>
      <c r="Q215" s="40">
        <v>164783740.22679999</v>
      </c>
      <c r="R215" s="40">
        <f t="shared" si="54"/>
        <v>-2620951.4900000002</v>
      </c>
      <c r="S215" s="40">
        <v>4943512.2067999998</v>
      </c>
      <c r="T215" s="40">
        <f t="shared" si="55"/>
        <v>2471756.1033999999</v>
      </c>
      <c r="U215" s="40">
        <f t="shared" si="42"/>
        <v>2471756.1033999999</v>
      </c>
      <c r="V215" s="40">
        <v>72453234.545499995</v>
      </c>
      <c r="W215" s="45">
        <f t="shared" si="50"/>
        <v>237087779.38569999</v>
      </c>
    </row>
    <row r="216" spans="1:23" ht="24.9" customHeight="1">
      <c r="A216" s="151"/>
      <c r="B216" s="153"/>
      <c r="C216" s="36">
        <v>15</v>
      </c>
      <c r="D216" s="40" t="s">
        <v>548</v>
      </c>
      <c r="E216" s="40">
        <v>158552052.44929999</v>
      </c>
      <c r="F216" s="40">
        <v>0</v>
      </c>
      <c r="G216" s="40">
        <v>4756561.5734999999</v>
      </c>
      <c r="H216" s="40">
        <f t="shared" si="45"/>
        <v>2378280.78675</v>
      </c>
      <c r="I216" s="40">
        <f t="shared" si="52"/>
        <v>2378280.78675</v>
      </c>
      <c r="J216" s="53">
        <v>66517827.998800002</v>
      </c>
      <c r="K216" s="45">
        <f t="shared" si="49"/>
        <v>227448161.23485002</v>
      </c>
      <c r="L216" s="44"/>
      <c r="M216" s="153"/>
      <c r="N216" s="46">
        <v>12</v>
      </c>
      <c r="O216" s="159"/>
      <c r="P216" s="40" t="s">
        <v>549</v>
      </c>
      <c r="Q216" s="40">
        <v>170561972.43470001</v>
      </c>
      <c r="R216" s="40">
        <f t="shared" si="54"/>
        <v>-2620951.4900000002</v>
      </c>
      <c r="S216" s="40">
        <v>5116859.1730000004</v>
      </c>
      <c r="T216" s="40">
        <f t="shared" si="55"/>
        <v>2558429.5865000002</v>
      </c>
      <c r="U216" s="40">
        <f t="shared" si="42"/>
        <v>2558429.5865000002</v>
      </c>
      <c r="V216" s="40">
        <v>74831082.420699999</v>
      </c>
      <c r="W216" s="45">
        <f t="shared" si="50"/>
        <v>245330532.95190001</v>
      </c>
    </row>
    <row r="217" spans="1:23" ht="24.9" customHeight="1">
      <c r="A217" s="151"/>
      <c r="B217" s="153"/>
      <c r="C217" s="36">
        <v>16</v>
      </c>
      <c r="D217" s="40" t="s">
        <v>550</v>
      </c>
      <c r="E217" s="40">
        <v>130939038.0326</v>
      </c>
      <c r="F217" s="40">
        <v>0</v>
      </c>
      <c r="G217" s="40">
        <v>3928171.1409999998</v>
      </c>
      <c r="H217" s="40">
        <f t="shared" si="45"/>
        <v>1964085.5704999999</v>
      </c>
      <c r="I217" s="40">
        <f t="shared" si="52"/>
        <v>1964085.5704999999</v>
      </c>
      <c r="J217" s="53">
        <v>55633844.677000001</v>
      </c>
      <c r="K217" s="45">
        <f t="shared" si="49"/>
        <v>188536968.28009999</v>
      </c>
      <c r="L217" s="44"/>
      <c r="M217" s="153"/>
      <c r="N217" s="46">
        <v>13</v>
      </c>
      <c r="O217" s="159"/>
      <c r="P217" s="40" t="s">
        <v>551</v>
      </c>
      <c r="Q217" s="40">
        <v>158506036.7297</v>
      </c>
      <c r="R217" s="40">
        <f t="shared" si="54"/>
        <v>-2620951.4900000002</v>
      </c>
      <c r="S217" s="40">
        <v>4755181.1019000001</v>
      </c>
      <c r="T217" s="40">
        <f t="shared" si="55"/>
        <v>2377590.5509500001</v>
      </c>
      <c r="U217" s="40">
        <f t="shared" si="42"/>
        <v>2377590.5509500001</v>
      </c>
      <c r="V217" s="40">
        <v>71149219.1558</v>
      </c>
      <c r="W217" s="45">
        <f t="shared" si="50"/>
        <v>229411894.94645</v>
      </c>
    </row>
    <row r="218" spans="1:23" ht="24.9" customHeight="1">
      <c r="A218" s="151"/>
      <c r="B218" s="153"/>
      <c r="C218" s="36">
        <v>17</v>
      </c>
      <c r="D218" s="40" t="s">
        <v>552</v>
      </c>
      <c r="E218" s="40">
        <v>164927840.99779999</v>
      </c>
      <c r="F218" s="40">
        <v>0</v>
      </c>
      <c r="G218" s="40">
        <v>4947835.2298999997</v>
      </c>
      <c r="H218" s="40">
        <f t="shared" si="45"/>
        <v>2473917.6149499998</v>
      </c>
      <c r="I218" s="40">
        <f t="shared" si="52"/>
        <v>2473917.6149499998</v>
      </c>
      <c r="J218" s="53">
        <v>69479505.838</v>
      </c>
      <c r="K218" s="45">
        <f t="shared" si="49"/>
        <v>236881264.45074999</v>
      </c>
      <c r="L218" s="44"/>
      <c r="M218" s="153"/>
      <c r="N218" s="46">
        <v>14</v>
      </c>
      <c r="O218" s="159"/>
      <c r="P218" s="40" t="s">
        <v>553</v>
      </c>
      <c r="Q218" s="40">
        <v>198233428.63159999</v>
      </c>
      <c r="R218" s="40">
        <f t="shared" si="54"/>
        <v>-2620951.4900000002</v>
      </c>
      <c r="S218" s="40">
        <v>5947002.8589000003</v>
      </c>
      <c r="T218" s="40">
        <f t="shared" si="55"/>
        <v>2973501.4294500002</v>
      </c>
      <c r="U218" s="40">
        <f t="shared" si="42"/>
        <v>2973501.4294500002</v>
      </c>
      <c r="V218" s="40">
        <v>82470310.775199994</v>
      </c>
      <c r="W218" s="45">
        <f t="shared" si="50"/>
        <v>281056289.34625</v>
      </c>
    </row>
    <row r="219" spans="1:23" ht="24.9" customHeight="1">
      <c r="A219" s="151"/>
      <c r="B219" s="153"/>
      <c r="C219" s="36">
        <v>18</v>
      </c>
      <c r="D219" s="40" t="s">
        <v>554</v>
      </c>
      <c r="E219" s="40">
        <v>173404543.86390001</v>
      </c>
      <c r="F219" s="40">
        <v>0</v>
      </c>
      <c r="G219" s="40">
        <v>5202136.3158999998</v>
      </c>
      <c r="H219" s="40">
        <f t="shared" si="45"/>
        <v>2601068.1579499999</v>
      </c>
      <c r="I219" s="40">
        <f t="shared" si="52"/>
        <v>2601068.1579499999</v>
      </c>
      <c r="J219" s="53">
        <v>65688265.823600002</v>
      </c>
      <c r="K219" s="45">
        <f t="shared" si="49"/>
        <v>241693877.84544998</v>
      </c>
      <c r="L219" s="44"/>
      <c r="M219" s="153"/>
      <c r="N219" s="46">
        <v>15</v>
      </c>
      <c r="O219" s="159"/>
      <c r="P219" s="40" t="s">
        <v>555</v>
      </c>
      <c r="Q219" s="40">
        <v>131561279.6048</v>
      </c>
      <c r="R219" s="40">
        <f t="shared" si="54"/>
        <v>-2620951.4900000002</v>
      </c>
      <c r="S219" s="40">
        <v>3946838.3881000001</v>
      </c>
      <c r="T219" s="40">
        <f t="shared" si="55"/>
        <v>1973419.19405</v>
      </c>
      <c r="U219" s="40">
        <f t="shared" si="42"/>
        <v>1973419.19405</v>
      </c>
      <c r="V219" s="40">
        <v>61791991.7245</v>
      </c>
      <c r="W219" s="45">
        <f t="shared" si="50"/>
        <v>192705739.03334999</v>
      </c>
    </row>
    <row r="220" spans="1:23" ht="24.9" customHeight="1">
      <c r="A220" s="151"/>
      <c r="B220" s="153"/>
      <c r="C220" s="36">
        <v>19</v>
      </c>
      <c r="D220" s="40" t="s">
        <v>556</v>
      </c>
      <c r="E220" s="40">
        <v>226461287.1065</v>
      </c>
      <c r="F220" s="40">
        <v>0</v>
      </c>
      <c r="G220" s="40">
        <v>6793838.6131999996</v>
      </c>
      <c r="H220" s="40">
        <f t="shared" si="45"/>
        <v>3396919.3065999998</v>
      </c>
      <c r="I220" s="40">
        <f t="shared" si="52"/>
        <v>3396919.3065999998</v>
      </c>
      <c r="J220" s="53">
        <v>89300220.800999999</v>
      </c>
      <c r="K220" s="45">
        <f t="shared" si="49"/>
        <v>319158427.2141</v>
      </c>
      <c r="L220" s="44"/>
      <c r="M220" s="153"/>
      <c r="N220" s="46">
        <v>16</v>
      </c>
      <c r="O220" s="159"/>
      <c r="P220" s="40" t="s">
        <v>557</v>
      </c>
      <c r="Q220" s="40">
        <v>217434985.75799999</v>
      </c>
      <c r="R220" s="40">
        <f t="shared" si="54"/>
        <v>-2620951.4900000002</v>
      </c>
      <c r="S220" s="40">
        <v>6523049.5727000004</v>
      </c>
      <c r="T220" s="40">
        <f t="shared" si="55"/>
        <v>3261524.7863500002</v>
      </c>
      <c r="U220" s="40">
        <f t="shared" si="42"/>
        <v>3261524.7863500002</v>
      </c>
      <c r="V220" s="40">
        <v>89556674.879700005</v>
      </c>
      <c r="W220" s="45">
        <f t="shared" si="50"/>
        <v>307632233.93404996</v>
      </c>
    </row>
    <row r="221" spans="1:23" ht="24.9" customHeight="1">
      <c r="A221" s="151"/>
      <c r="B221" s="153"/>
      <c r="C221" s="36">
        <v>20</v>
      </c>
      <c r="D221" s="40" t="s">
        <v>558</v>
      </c>
      <c r="E221" s="40">
        <v>179519361.6521</v>
      </c>
      <c r="F221" s="40">
        <v>0</v>
      </c>
      <c r="G221" s="40">
        <v>5385580.8496000003</v>
      </c>
      <c r="H221" s="40">
        <f t="shared" si="45"/>
        <v>2692790.4248000002</v>
      </c>
      <c r="I221" s="40">
        <f t="shared" si="52"/>
        <v>2692790.4248000002</v>
      </c>
      <c r="J221" s="53">
        <v>75019843.543400005</v>
      </c>
      <c r="K221" s="45">
        <f t="shared" si="49"/>
        <v>257231995.62029999</v>
      </c>
      <c r="L221" s="44"/>
      <c r="M221" s="153"/>
      <c r="N221" s="46">
        <v>17</v>
      </c>
      <c r="O221" s="159"/>
      <c r="P221" s="40" t="s">
        <v>559</v>
      </c>
      <c r="Q221" s="40">
        <v>175193610.05140001</v>
      </c>
      <c r="R221" s="40">
        <f t="shared" si="54"/>
        <v>-2620951.4900000002</v>
      </c>
      <c r="S221" s="40">
        <v>5255808.3015000001</v>
      </c>
      <c r="T221" s="40">
        <f t="shared" si="55"/>
        <v>2627904.15075</v>
      </c>
      <c r="U221" s="40">
        <f t="shared" si="42"/>
        <v>2627904.15075</v>
      </c>
      <c r="V221" s="40">
        <v>71114000.639899999</v>
      </c>
      <c r="W221" s="45">
        <f t="shared" si="50"/>
        <v>246314563.35204998</v>
      </c>
    </row>
    <row r="222" spans="1:23" ht="24.9" customHeight="1">
      <c r="A222" s="151"/>
      <c r="B222" s="153"/>
      <c r="C222" s="36">
        <v>21</v>
      </c>
      <c r="D222" s="40" t="s">
        <v>560</v>
      </c>
      <c r="E222" s="40">
        <v>142374795.87990001</v>
      </c>
      <c r="F222" s="40">
        <v>0</v>
      </c>
      <c r="G222" s="40">
        <v>4271243.8764000004</v>
      </c>
      <c r="H222" s="40">
        <f t="shared" si="45"/>
        <v>2135621.9382000002</v>
      </c>
      <c r="I222" s="40">
        <f t="shared" si="52"/>
        <v>2135621.9382000002</v>
      </c>
      <c r="J222" s="53">
        <v>62635418.543099999</v>
      </c>
      <c r="K222" s="45">
        <f t="shared" si="49"/>
        <v>207145836.3612</v>
      </c>
      <c r="L222" s="44"/>
      <c r="M222" s="154"/>
      <c r="N222" s="46">
        <v>18</v>
      </c>
      <c r="O222" s="160"/>
      <c r="P222" s="40" t="s">
        <v>561</v>
      </c>
      <c r="Q222" s="40">
        <v>205548521.04499999</v>
      </c>
      <c r="R222" s="40">
        <f t="shared" si="54"/>
        <v>-2620951.4900000002</v>
      </c>
      <c r="S222" s="40">
        <v>6166455.6314000003</v>
      </c>
      <c r="T222" s="40">
        <f t="shared" si="55"/>
        <v>3083227.8157000002</v>
      </c>
      <c r="U222" s="40">
        <f t="shared" si="42"/>
        <v>3083227.8157000002</v>
      </c>
      <c r="V222" s="40">
        <v>80946611.586199999</v>
      </c>
      <c r="W222" s="45">
        <f t="shared" si="50"/>
        <v>286957408.9569</v>
      </c>
    </row>
    <row r="223" spans="1:23" ht="24.9" customHeight="1">
      <c r="A223" s="151"/>
      <c r="B223" s="153"/>
      <c r="C223" s="36">
        <v>22</v>
      </c>
      <c r="D223" s="40" t="s">
        <v>562</v>
      </c>
      <c r="E223" s="40">
        <v>167288489.40200001</v>
      </c>
      <c r="F223" s="40">
        <v>0</v>
      </c>
      <c r="G223" s="40">
        <v>5018654.6820999999</v>
      </c>
      <c r="H223" s="40">
        <f t="shared" si="45"/>
        <v>2509327.3410499999</v>
      </c>
      <c r="I223" s="40">
        <f t="shared" si="52"/>
        <v>2509327.3410499999</v>
      </c>
      <c r="J223" s="53">
        <v>72082220.614999995</v>
      </c>
      <c r="K223" s="45">
        <f t="shared" si="49"/>
        <v>241880037.35804999</v>
      </c>
      <c r="L223" s="44"/>
      <c r="M223" s="36"/>
      <c r="N223" s="147" t="s">
        <v>563</v>
      </c>
      <c r="O223" s="148"/>
      <c r="P223" s="41"/>
      <c r="Q223" s="41">
        <f t="shared" ref="Q223:S223" si="56">SUM(Q205:Q222)</f>
        <v>3260059455.2320004</v>
      </c>
      <c r="R223" s="41">
        <f t="shared" si="56"/>
        <v>-47177126.820000023</v>
      </c>
      <c r="S223" s="41">
        <f t="shared" si="56"/>
        <v>97801783.6567</v>
      </c>
      <c r="T223" s="41">
        <f t="shared" ref="T223" si="57">SUM(T205:T222)</f>
        <v>48900891.82835</v>
      </c>
      <c r="U223" s="41">
        <f t="shared" si="42"/>
        <v>48900891.82835</v>
      </c>
      <c r="V223" s="41">
        <f>SUM(V205:V222)</f>
        <v>1390731978.9673998</v>
      </c>
      <c r="W223" s="41">
        <f>SUM(W205:W222)</f>
        <v>4652515199.2077494</v>
      </c>
    </row>
    <row r="224" spans="1:23" ht="24.9" customHeight="1">
      <c r="A224" s="151"/>
      <c r="B224" s="153"/>
      <c r="C224" s="36">
        <v>23</v>
      </c>
      <c r="D224" s="40" t="s">
        <v>564</v>
      </c>
      <c r="E224" s="40">
        <v>207891490.48100001</v>
      </c>
      <c r="F224" s="40">
        <v>0</v>
      </c>
      <c r="G224" s="40">
        <v>6236744.7143999999</v>
      </c>
      <c r="H224" s="40">
        <f t="shared" si="45"/>
        <v>3118372.3572</v>
      </c>
      <c r="I224" s="40">
        <f t="shared" si="52"/>
        <v>3118372.3572</v>
      </c>
      <c r="J224" s="53">
        <v>86959717.842600003</v>
      </c>
      <c r="K224" s="45">
        <f t="shared" si="49"/>
        <v>297969580.68080002</v>
      </c>
      <c r="L224" s="44"/>
      <c r="M224" s="152">
        <v>29</v>
      </c>
      <c r="N224" s="46">
        <v>1</v>
      </c>
      <c r="O224" s="152" t="s">
        <v>111</v>
      </c>
      <c r="P224" s="40" t="s">
        <v>565</v>
      </c>
      <c r="Q224" s="40">
        <v>128458210.8135</v>
      </c>
      <c r="R224" s="40">
        <f t="shared" ref="R224:R253" si="58">-2734288.17</f>
        <v>-2734288.17</v>
      </c>
      <c r="S224" s="40">
        <v>3853746.3243999998</v>
      </c>
      <c r="T224" s="40">
        <v>0</v>
      </c>
      <c r="U224" s="40">
        <f t="shared" si="42"/>
        <v>3853746.3243999998</v>
      </c>
      <c r="V224" s="40">
        <v>50674636.949900001</v>
      </c>
      <c r="W224" s="45">
        <f t="shared" si="50"/>
        <v>180252305.91780001</v>
      </c>
    </row>
    <row r="225" spans="1:23" ht="24.9" customHeight="1">
      <c r="A225" s="151"/>
      <c r="B225" s="153"/>
      <c r="C225" s="36">
        <v>24</v>
      </c>
      <c r="D225" s="40" t="s">
        <v>566</v>
      </c>
      <c r="E225" s="40">
        <v>171082514.1085</v>
      </c>
      <c r="F225" s="40">
        <v>0</v>
      </c>
      <c r="G225" s="40">
        <v>5132475.4232999999</v>
      </c>
      <c r="H225" s="40">
        <f t="shared" si="45"/>
        <v>2566237.71165</v>
      </c>
      <c r="I225" s="40">
        <f t="shared" si="52"/>
        <v>2566237.71165</v>
      </c>
      <c r="J225" s="53">
        <v>64882758.5594</v>
      </c>
      <c r="K225" s="45">
        <f t="shared" si="49"/>
        <v>238531510.37954998</v>
      </c>
      <c r="L225" s="44"/>
      <c r="M225" s="153"/>
      <c r="N225" s="46">
        <v>2</v>
      </c>
      <c r="O225" s="153"/>
      <c r="P225" s="40" t="s">
        <v>567</v>
      </c>
      <c r="Q225" s="40">
        <v>128818553.8725</v>
      </c>
      <c r="R225" s="40">
        <f t="shared" si="58"/>
        <v>-2734288.17</v>
      </c>
      <c r="S225" s="40">
        <v>3864556.6162</v>
      </c>
      <c r="T225" s="40">
        <v>0</v>
      </c>
      <c r="U225" s="40">
        <f t="shared" si="42"/>
        <v>3864556.6162</v>
      </c>
      <c r="V225" s="40">
        <v>49670709.895900004</v>
      </c>
      <c r="W225" s="45">
        <f t="shared" si="50"/>
        <v>179619532.2146</v>
      </c>
    </row>
    <row r="226" spans="1:23" ht="24.9" customHeight="1">
      <c r="A226" s="151"/>
      <c r="B226" s="154"/>
      <c r="C226" s="36">
        <v>25</v>
      </c>
      <c r="D226" s="40" t="s">
        <v>568</v>
      </c>
      <c r="E226" s="40">
        <v>164297815.01660001</v>
      </c>
      <c r="F226" s="40">
        <v>0</v>
      </c>
      <c r="G226" s="40">
        <v>4928934.4505000003</v>
      </c>
      <c r="H226" s="40">
        <f t="shared" si="45"/>
        <v>2464467.2252500001</v>
      </c>
      <c r="I226" s="40">
        <f t="shared" si="52"/>
        <v>2464467.2252500001</v>
      </c>
      <c r="J226" s="53">
        <v>62142492.220200002</v>
      </c>
      <c r="K226" s="45">
        <f t="shared" si="49"/>
        <v>228904774.46205002</v>
      </c>
      <c r="L226" s="44"/>
      <c r="M226" s="153"/>
      <c r="N226" s="46">
        <v>3</v>
      </c>
      <c r="O226" s="153"/>
      <c r="P226" s="40" t="s">
        <v>569</v>
      </c>
      <c r="Q226" s="40">
        <v>160486279.96129999</v>
      </c>
      <c r="R226" s="40">
        <f t="shared" si="58"/>
        <v>-2734288.17</v>
      </c>
      <c r="S226" s="40">
        <v>4814588.3987999996</v>
      </c>
      <c r="T226" s="40">
        <v>0</v>
      </c>
      <c r="U226" s="40">
        <f t="shared" si="42"/>
        <v>4814588.3987999996</v>
      </c>
      <c r="V226" s="40">
        <v>60535156.908799998</v>
      </c>
      <c r="W226" s="45">
        <f t="shared" si="50"/>
        <v>223101737.09889999</v>
      </c>
    </row>
    <row r="227" spans="1:23" ht="24.9" customHeight="1">
      <c r="A227" s="36"/>
      <c r="B227" s="146" t="s">
        <v>570</v>
      </c>
      <c r="C227" s="147"/>
      <c r="D227" s="41"/>
      <c r="E227" s="41">
        <f>SUM(E202:E226)</f>
        <v>4207382169.9354</v>
      </c>
      <c r="F227" s="41">
        <f t="shared" ref="F227:K227" si="59">SUM(F202:F226)</f>
        <v>0</v>
      </c>
      <c r="G227" s="41">
        <f t="shared" si="59"/>
        <v>126221465.09809999</v>
      </c>
      <c r="H227" s="41">
        <f t="shared" si="59"/>
        <v>63110732.549049996</v>
      </c>
      <c r="I227" s="41">
        <f t="shared" si="59"/>
        <v>63110732.549049996</v>
      </c>
      <c r="J227" s="41">
        <f t="shared" si="59"/>
        <v>1710565917.9028006</v>
      </c>
      <c r="K227" s="41">
        <f t="shared" si="59"/>
        <v>5981058820.3872519</v>
      </c>
      <c r="L227" s="44"/>
      <c r="M227" s="153"/>
      <c r="N227" s="46">
        <v>4</v>
      </c>
      <c r="O227" s="153"/>
      <c r="P227" s="40" t="s">
        <v>571</v>
      </c>
      <c r="Q227" s="40">
        <v>141866324.2216</v>
      </c>
      <c r="R227" s="40">
        <f t="shared" si="58"/>
        <v>-2734288.17</v>
      </c>
      <c r="S227" s="40">
        <v>4255989.7265999997</v>
      </c>
      <c r="T227" s="40">
        <v>0</v>
      </c>
      <c r="U227" s="40">
        <f t="shared" si="42"/>
        <v>4255989.7265999997</v>
      </c>
      <c r="V227" s="40">
        <v>50627989.028800003</v>
      </c>
      <c r="W227" s="45">
        <f t="shared" si="50"/>
        <v>194016014.80700001</v>
      </c>
    </row>
    <row r="228" spans="1:23" ht="24.9" customHeight="1">
      <c r="A228" s="151"/>
      <c r="B228" s="152" t="s">
        <v>572</v>
      </c>
      <c r="C228" s="36">
        <v>1</v>
      </c>
      <c r="D228" s="40" t="s">
        <v>573</v>
      </c>
      <c r="E228" s="40">
        <v>186571172.27900001</v>
      </c>
      <c r="F228" s="40">
        <f>-4287962.3445</f>
        <v>-4287962.3444999997</v>
      </c>
      <c r="G228" s="40">
        <v>5597135.1683999998</v>
      </c>
      <c r="H228" s="40">
        <v>0</v>
      </c>
      <c r="I228" s="40">
        <f t="shared" si="52"/>
        <v>5597135.1683999998</v>
      </c>
      <c r="J228" s="53">
        <v>65946622.697499998</v>
      </c>
      <c r="K228" s="45">
        <f t="shared" si="49"/>
        <v>253826967.80039999</v>
      </c>
      <c r="L228" s="44"/>
      <c r="M228" s="153"/>
      <c r="N228" s="46">
        <v>5</v>
      </c>
      <c r="O228" s="153"/>
      <c r="P228" s="40" t="s">
        <v>574</v>
      </c>
      <c r="Q228" s="40">
        <v>134250055.30829999</v>
      </c>
      <c r="R228" s="40">
        <f t="shared" si="58"/>
        <v>-2734288.17</v>
      </c>
      <c r="S228" s="40">
        <v>4027501.6592999999</v>
      </c>
      <c r="T228" s="40">
        <v>0</v>
      </c>
      <c r="U228" s="40">
        <f t="shared" si="42"/>
        <v>4027501.6592999999</v>
      </c>
      <c r="V228" s="40">
        <v>49954052.824000001</v>
      </c>
      <c r="W228" s="45">
        <f t="shared" si="50"/>
        <v>185497321.6216</v>
      </c>
    </row>
    <row r="229" spans="1:23" ht="24.9" customHeight="1">
      <c r="A229" s="151"/>
      <c r="B229" s="153"/>
      <c r="C229" s="36">
        <v>2</v>
      </c>
      <c r="D229" s="40" t="s">
        <v>575</v>
      </c>
      <c r="E229" s="40">
        <v>175190037.60980001</v>
      </c>
      <c r="F229" s="40">
        <f>-4170736.6574</f>
        <v>-4170736.6573999999</v>
      </c>
      <c r="G229" s="40">
        <v>5255701.1283</v>
      </c>
      <c r="H229" s="40">
        <v>0</v>
      </c>
      <c r="I229" s="40">
        <f t="shared" si="52"/>
        <v>5255701.1283</v>
      </c>
      <c r="J229" s="53">
        <v>66596238.191200003</v>
      </c>
      <c r="K229" s="45">
        <f t="shared" si="49"/>
        <v>242871240.2719</v>
      </c>
      <c r="L229" s="44"/>
      <c r="M229" s="153"/>
      <c r="N229" s="46">
        <v>6</v>
      </c>
      <c r="O229" s="153"/>
      <c r="P229" s="40" t="s">
        <v>576</v>
      </c>
      <c r="Q229" s="40">
        <v>152904219.01969999</v>
      </c>
      <c r="R229" s="40">
        <f t="shared" si="58"/>
        <v>-2734288.17</v>
      </c>
      <c r="S229" s="40">
        <v>4587126.5706000002</v>
      </c>
      <c r="T229" s="40">
        <v>0</v>
      </c>
      <c r="U229" s="40">
        <f t="shared" si="42"/>
        <v>4587126.5706000002</v>
      </c>
      <c r="V229" s="40">
        <v>59068737.6457</v>
      </c>
      <c r="W229" s="45">
        <f t="shared" si="50"/>
        <v>213825795.06600001</v>
      </c>
    </row>
    <row r="230" spans="1:23" ht="24.9" customHeight="1">
      <c r="A230" s="151"/>
      <c r="B230" s="153"/>
      <c r="C230" s="36">
        <v>3</v>
      </c>
      <c r="D230" s="40" t="s">
        <v>577</v>
      </c>
      <c r="E230" s="40">
        <v>176698180.90939999</v>
      </c>
      <c r="F230" s="40">
        <f>-4186270.5334</f>
        <v>-4186270.5334000001</v>
      </c>
      <c r="G230" s="40">
        <v>5300945.4272999996</v>
      </c>
      <c r="H230" s="40">
        <v>0</v>
      </c>
      <c r="I230" s="40">
        <f t="shared" si="52"/>
        <v>5300945.4272999996</v>
      </c>
      <c r="J230" s="53">
        <v>66657505.118900001</v>
      </c>
      <c r="K230" s="45">
        <f t="shared" si="49"/>
        <v>244470360.92219999</v>
      </c>
      <c r="L230" s="44"/>
      <c r="M230" s="153"/>
      <c r="N230" s="46">
        <v>7</v>
      </c>
      <c r="O230" s="153"/>
      <c r="P230" s="40" t="s">
        <v>578</v>
      </c>
      <c r="Q230" s="40">
        <v>128156453.5133</v>
      </c>
      <c r="R230" s="40">
        <f t="shared" si="58"/>
        <v>-2734288.17</v>
      </c>
      <c r="S230" s="40">
        <v>3844693.6053999998</v>
      </c>
      <c r="T230" s="40">
        <v>0</v>
      </c>
      <c r="U230" s="40">
        <f t="shared" si="42"/>
        <v>3844693.6053999998</v>
      </c>
      <c r="V230" s="40">
        <v>51689196.008699998</v>
      </c>
      <c r="W230" s="45">
        <f t="shared" si="50"/>
        <v>180956054.95739999</v>
      </c>
    </row>
    <row r="231" spans="1:23" ht="24.9" customHeight="1">
      <c r="A231" s="151"/>
      <c r="B231" s="153"/>
      <c r="C231" s="36">
        <v>4</v>
      </c>
      <c r="D231" s="40" t="s">
        <v>93</v>
      </c>
      <c r="E231" s="40">
        <v>170386420.6541</v>
      </c>
      <c r="F231" s="40">
        <f>-4121259.4027</f>
        <v>-4121259.4027</v>
      </c>
      <c r="G231" s="40">
        <v>5111592.6195999999</v>
      </c>
      <c r="H231" s="40">
        <v>0</v>
      </c>
      <c r="I231" s="40">
        <f t="shared" si="52"/>
        <v>5111592.6195999999</v>
      </c>
      <c r="J231" s="53">
        <v>62639271.801899999</v>
      </c>
      <c r="K231" s="45">
        <f t="shared" si="49"/>
        <v>234016025.67289999</v>
      </c>
      <c r="L231" s="44"/>
      <c r="M231" s="153"/>
      <c r="N231" s="46">
        <v>8</v>
      </c>
      <c r="O231" s="153"/>
      <c r="P231" s="40" t="s">
        <v>579</v>
      </c>
      <c r="Q231" s="40">
        <v>133097056.2757</v>
      </c>
      <c r="R231" s="40">
        <f t="shared" si="58"/>
        <v>-2734288.17</v>
      </c>
      <c r="S231" s="40">
        <v>3992911.6883</v>
      </c>
      <c r="T231" s="40">
        <v>0</v>
      </c>
      <c r="U231" s="40">
        <f t="shared" si="42"/>
        <v>3992911.6883</v>
      </c>
      <c r="V231" s="40">
        <v>50653107.140100002</v>
      </c>
      <c r="W231" s="45">
        <f t="shared" si="50"/>
        <v>185008786.9341</v>
      </c>
    </row>
    <row r="232" spans="1:23" ht="24.9" customHeight="1">
      <c r="A232" s="151"/>
      <c r="B232" s="153"/>
      <c r="C232" s="36">
        <v>5</v>
      </c>
      <c r="D232" s="40" t="s">
        <v>580</v>
      </c>
      <c r="E232" s="40">
        <v>169833507.3396</v>
      </c>
      <c r="F232" s="40">
        <f>-4115564.3956</f>
        <v>-4115564.3955999999</v>
      </c>
      <c r="G232" s="40">
        <v>5095005.2202000003</v>
      </c>
      <c r="H232" s="40">
        <v>0</v>
      </c>
      <c r="I232" s="40">
        <f t="shared" si="52"/>
        <v>5095005.2202000003</v>
      </c>
      <c r="J232" s="53">
        <v>65135400.730599999</v>
      </c>
      <c r="K232" s="45">
        <f t="shared" si="49"/>
        <v>235948348.89480001</v>
      </c>
      <c r="L232" s="44"/>
      <c r="M232" s="153"/>
      <c r="N232" s="46">
        <v>9</v>
      </c>
      <c r="O232" s="153"/>
      <c r="P232" s="40" t="s">
        <v>581</v>
      </c>
      <c r="Q232" s="40">
        <v>130907558.939</v>
      </c>
      <c r="R232" s="40">
        <f t="shared" si="58"/>
        <v>-2734288.17</v>
      </c>
      <c r="S232" s="40">
        <v>3927226.7681999998</v>
      </c>
      <c r="T232" s="40">
        <v>0</v>
      </c>
      <c r="U232" s="40">
        <f t="shared" si="42"/>
        <v>3927226.7681999998</v>
      </c>
      <c r="V232" s="40">
        <v>50440467.044</v>
      </c>
      <c r="W232" s="45">
        <f t="shared" si="50"/>
        <v>182540964.5812</v>
      </c>
    </row>
    <row r="233" spans="1:23" ht="24.9" customHeight="1">
      <c r="A233" s="151"/>
      <c r="B233" s="153"/>
      <c r="C233" s="36">
        <v>6</v>
      </c>
      <c r="D233" s="40" t="s">
        <v>582</v>
      </c>
      <c r="E233" s="40">
        <v>176523584.75319999</v>
      </c>
      <c r="F233" s="40">
        <f>-4184472.193</f>
        <v>-4184472.193</v>
      </c>
      <c r="G233" s="40">
        <v>5295707.5426000003</v>
      </c>
      <c r="H233" s="40">
        <v>0</v>
      </c>
      <c r="I233" s="40">
        <f t="shared" si="52"/>
        <v>5295707.5426000003</v>
      </c>
      <c r="J233" s="53">
        <v>63485579.384599999</v>
      </c>
      <c r="K233" s="45">
        <f t="shared" si="49"/>
        <v>241120399.4874</v>
      </c>
      <c r="L233" s="44"/>
      <c r="M233" s="153"/>
      <c r="N233" s="46">
        <v>10</v>
      </c>
      <c r="O233" s="153"/>
      <c r="P233" s="40" t="s">
        <v>583</v>
      </c>
      <c r="Q233" s="40">
        <v>148605947.685</v>
      </c>
      <c r="R233" s="40">
        <f t="shared" si="58"/>
        <v>-2734288.17</v>
      </c>
      <c r="S233" s="40">
        <v>4458178.4305999996</v>
      </c>
      <c r="T233" s="40">
        <v>0</v>
      </c>
      <c r="U233" s="40">
        <f t="shared" si="42"/>
        <v>4458178.4305999996</v>
      </c>
      <c r="V233" s="40">
        <v>58176047.942000002</v>
      </c>
      <c r="W233" s="45">
        <f t="shared" si="50"/>
        <v>208505885.8876</v>
      </c>
    </row>
    <row r="234" spans="1:23" ht="24.9" customHeight="1">
      <c r="A234" s="151"/>
      <c r="B234" s="153"/>
      <c r="C234" s="36">
        <v>7</v>
      </c>
      <c r="D234" s="40" t="s">
        <v>584</v>
      </c>
      <c r="E234" s="40">
        <v>206254361.25420001</v>
      </c>
      <c r="F234" s="40">
        <f>-4490699.1909</f>
        <v>-4490699.1908999998</v>
      </c>
      <c r="G234" s="40">
        <v>6187630.8376000002</v>
      </c>
      <c r="H234" s="40">
        <v>0</v>
      </c>
      <c r="I234" s="40">
        <f t="shared" si="52"/>
        <v>6187630.8376000002</v>
      </c>
      <c r="J234" s="53">
        <v>74303511.376399994</v>
      </c>
      <c r="K234" s="45">
        <f t="shared" si="49"/>
        <v>282254804.2773</v>
      </c>
      <c r="L234" s="44"/>
      <c r="M234" s="153"/>
      <c r="N234" s="46">
        <v>11</v>
      </c>
      <c r="O234" s="153"/>
      <c r="P234" s="40" t="s">
        <v>585</v>
      </c>
      <c r="Q234" s="40">
        <v>157348527.22549999</v>
      </c>
      <c r="R234" s="40">
        <f t="shared" si="58"/>
        <v>-2734288.17</v>
      </c>
      <c r="S234" s="40">
        <v>4720455.8168000001</v>
      </c>
      <c r="T234" s="40">
        <v>0</v>
      </c>
      <c r="U234" s="40">
        <f t="shared" ref="U234:U297" si="60">S234-T234</f>
        <v>4720455.8168000001</v>
      </c>
      <c r="V234" s="40">
        <v>62776117.722199999</v>
      </c>
      <c r="W234" s="45">
        <f t="shared" si="50"/>
        <v>222110812.59450001</v>
      </c>
    </row>
    <row r="235" spans="1:23" ht="24.9" customHeight="1">
      <c r="A235" s="151"/>
      <c r="B235" s="153"/>
      <c r="C235" s="36">
        <v>8</v>
      </c>
      <c r="D235" s="40" t="s">
        <v>586</v>
      </c>
      <c r="E235" s="40">
        <v>182694618.03749999</v>
      </c>
      <c r="F235" s="40">
        <f>-4248033.8358</f>
        <v>-4248033.8357999995</v>
      </c>
      <c r="G235" s="40">
        <v>5480838.5411</v>
      </c>
      <c r="H235" s="40">
        <v>0</v>
      </c>
      <c r="I235" s="40">
        <f t="shared" si="52"/>
        <v>5480838.5411</v>
      </c>
      <c r="J235" s="53">
        <v>65856915.156900004</v>
      </c>
      <c r="K235" s="45">
        <f t="shared" si="49"/>
        <v>249784337.89969999</v>
      </c>
      <c r="L235" s="44"/>
      <c r="M235" s="153"/>
      <c r="N235" s="46">
        <v>12</v>
      </c>
      <c r="O235" s="153"/>
      <c r="P235" s="40" t="s">
        <v>587</v>
      </c>
      <c r="Q235" s="40">
        <v>181858636.95789999</v>
      </c>
      <c r="R235" s="40">
        <f t="shared" si="58"/>
        <v>-2734288.17</v>
      </c>
      <c r="S235" s="40">
        <v>5455759.1086999997</v>
      </c>
      <c r="T235" s="40">
        <v>0</v>
      </c>
      <c r="U235" s="40">
        <f t="shared" si="60"/>
        <v>5455759.1086999997</v>
      </c>
      <c r="V235" s="40">
        <v>65544824.674199998</v>
      </c>
      <c r="W235" s="45">
        <f t="shared" si="50"/>
        <v>250124932.57080001</v>
      </c>
    </row>
    <row r="236" spans="1:23" ht="24.9" customHeight="1">
      <c r="A236" s="151"/>
      <c r="B236" s="153"/>
      <c r="C236" s="36">
        <v>9</v>
      </c>
      <c r="D236" s="40" t="s">
        <v>588</v>
      </c>
      <c r="E236" s="40">
        <v>165294858.9073</v>
      </c>
      <c r="F236" s="40">
        <f>-4068816.3167</f>
        <v>-4068816.3166999999</v>
      </c>
      <c r="G236" s="40">
        <v>4958845.7671999997</v>
      </c>
      <c r="H236" s="40">
        <v>0</v>
      </c>
      <c r="I236" s="40">
        <f t="shared" si="52"/>
        <v>4958845.7671999997</v>
      </c>
      <c r="J236" s="53">
        <v>61852769.246200003</v>
      </c>
      <c r="K236" s="45">
        <f t="shared" si="49"/>
        <v>228037657.60399997</v>
      </c>
      <c r="L236" s="44"/>
      <c r="M236" s="153"/>
      <c r="N236" s="46">
        <v>13</v>
      </c>
      <c r="O236" s="153"/>
      <c r="P236" s="40" t="s">
        <v>589</v>
      </c>
      <c r="Q236" s="40">
        <v>169518481.18430001</v>
      </c>
      <c r="R236" s="40">
        <f t="shared" si="58"/>
        <v>-2734288.17</v>
      </c>
      <c r="S236" s="40">
        <v>5085554.4354999997</v>
      </c>
      <c r="T236" s="40">
        <v>0</v>
      </c>
      <c r="U236" s="40">
        <f t="shared" si="60"/>
        <v>5085554.4354999997</v>
      </c>
      <c r="V236" s="40">
        <v>60973992.907200001</v>
      </c>
      <c r="W236" s="45">
        <f t="shared" si="50"/>
        <v>232843740.35700002</v>
      </c>
    </row>
    <row r="237" spans="1:23" ht="24.9" customHeight="1">
      <c r="A237" s="151"/>
      <c r="B237" s="153"/>
      <c r="C237" s="36">
        <v>10</v>
      </c>
      <c r="D237" s="40" t="s">
        <v>590</v>
      </c>
      <c r="E237" s="40">
        <v>229593843.97299999</v>
      </c>
      <c r="F237" s="40">
        <f>-4731095.8629</f>
        <v>-4731095.8629000001</v>
      </c>
      <c r="G237" s="40">
        <v>6887815.3191999998</v>
      </c>
      <c r="H237" s="40">
        <v>0</v>
      </c>
      <c r="I237" s="40">
        <f t="shared" si="52"/>
        <v>6887815.3191999998</v>
      </c>
      <c r="J237" s="53">
        <v>76890809.746399999</v>
      </c>
      <c r="K237" s="45">
        <f t="shared" si="49"/>
        <v>308641373.17570001</v>
      </c>
      <c r="L237" s="44"/>
      <c r="M237" s="153"/>
      <c r="N237" s="46">
        <v>14</v>
      </c>
      <c r="O237" s="153"/>
      <c r="P237" s="40" t="s">
        <v>591</v>
      </c>
      <c r="Q237" s="40">
        <v>147767613.354</v>
      </c>
      <c r="R237" s="40">
        <f t="shared" si="58"/>
        <v>-2734288.17</v>
      </c>
      <c r="S237" s="40">
        <v>4433028.4006000003</v>
      </c>
      <c r="T237" s="40">
        <v>0</v>
      </c>
      <c r="U237" s="40">
        <f t="shared" si="60"/>
        <v>4433028.4006000003</v>
      </c>
      <c r="V237" s="40">
        <v>58534479.404100001</v>
      </c>
      <c r="W237" s="45">
        <f t="shared" si="50"/>
        <v>208000832.9887</v>
      </c>
    </row>
    <row r="238" spans="1:23" ht="24.9" customHeight="1">
      <c r="A238" s="151"/>
      <c r="B238" s="153"/>
      <c r="C238" s="36">
        <v>11</v>
      </c>
      <c r="D238" s="40" t="s">
        <v>592</v>
      </c>
      <c r="E238" s="40">
        <v>178115475.72780001</v>
      </c>
      <c r="F238" s="40">
        <f>-4200868.67</f>
        <v>-4200868.67</v>
      </c>
      <c r="G238" s="40">
        <v>5343464.2718000002</v>
      </c>
      <c r="H238" s="40">
        <v>0</v>
      </c>
      <c r="I238" s="40">
        <f t="shared" si="52"/>
        <v>5343464.2718000002</v>
      </c>
      <c r="J238" s="53">
        <v>65535031.211300001</v>
      </c>
      <c r="K238" s="45">
        <f t="shared" si="49"/>
        <v>244793102.54090005</v>
      </c>
      <c r="L238" s="44"/>
      <c r="M238" s="153"/>
      <c r="N238" s="46">
        <v>15</v>
      </c>
      <c r="O238" s="153"/>
      <c r="P238" s="40" t="s">
        <v>593</v>
      </c>
      <c r="Q238" s="40">
        <v>116118931.4727</v>
      </c>
      <c r="R238" s="40">
        <f t="shared" si="58"/>
        <v>-2734288.17</v>
      </c>
      <c r="S238" s="40">
        <v>3483567.9441999998</v>
      </c>
      <c r="T238" s="40">
        <v>0</v>
      </c>
      <c r="U238" s="40">
        <f t="shared" si="60"/>
        <v>3483567.9441999998</v>
      </c>
      <c r="V238" s="40">
        <v>45473061.497699998</v>
      </c>
      <c r="W238" s="45">
        <f t="shared" si="50"/>
        <v>162341272.7446</v>
      </c>
    </row>
    <row r="239" spans="1:23" ht="24.9" customHeight="1">
      <c r="A239" s="151"/>
      <c r="B239" s="153"/>
      <c r="C239" s="36">
        <v>12</v>
      </c>
      <c r="D239" s="40" t="s">
        <v>594</v>
      </c>
      <c r="E239" s="40">
        <v>196536745.48159999</v>
      </c>
      <c r="F239" s="40">
        <f>-4390607.7485</f>
        <v>-4390607.7484999998</v>
      </c>
      <c r="G239" s="40">
        <v>5896102.3644000003</v>
      </c>
      <c r="H239" s="40">
        <v>0</v>
      </c>
      <c r="I239" s="40">
        <f t="shared" si="52"/>
        <v>5896102.3644000003</v>
      </c>
      <c r="J239" s="53">
        <v>71875825.978599995</v>
      </c>
      <c r="K239" s="45">
        <f t="shared" si="49"/>
        <v>269918066.07609999</v>
      </c>
      <c r="L239" s="44"/>
      <c r="M239" s="153"/>
      <c r="N239" s="46">
        <v>16</v>
      </c>
      <c r="O239" s="153"/>
      <c r="P239" s="40" t="s">
        <v>333</v>
      </c>
      <c r="Q239" s="40">
        <v>149630232.93830001</v>
      </c>
      <c r="R239" s="40">
        <f t="shared" si="58"/>
        <v>-2734288.17</v>
      </c>
      <c r="S239" s="40">
        <v>4488906.9880999997</v>
      </c>
      <c r="T239" s="40">
        <v>0</v>
      </c>
      <c r="U239" s="40">
        <f t="shared" si="60"/>
        <v>4488906.9880999997</v>
      </c>
      <c r="V239" s="40">
        <v>53405866.084899999</v>
      </c>
      <c r="W239" s="45">
        <f t="shared" si="50"/>
        <v>204790717.84130001</v>
      </c>
    </row>
    <row r="240" spans="1:23" ht="24.9" customHeight="1">
      <c r="A240" s="151"/>
      <c r="B240" s="154"/>
      <c r="C240" s="36">
        <v>13</v>
      </c>
      <c r="D240" s="40" t="s">
        <v>595</v>
      </c>
      <c r="E240" s="40">
        <v>215256501.93939999</v>
      </c>
      <c r="F240" s="40">
        <f>-4583421.24</f>
        <v>-4583421.24</v>
      </c>
      <c r="G240" s="40">
        <v>6457695.0581999999</v>
      </c>
      <c r="H240" s="40">
        <v>0</v>
      </c>
      <c r="I240" s="40">
        <f t="shared" si="52"/>
        <v>6457695.0581999999</v>
      </c>
      <c r="J240" s="53">
        <v>77257082.312000006</v>
      </c>
      <c r="K240" s="45">
        <f t="shared" si="49"/>
        <v>294387858.06959999</v>
      </c>
      <c r="L240" s="44"/>
      <c r="M240" s="153"/>
      <c r="N240" s="46">
        <v>17</v>
      </c>
      <c r="O240" s="153"/>
      <c r="P240" s="40" t="s">
        <v>596</v>
      </c>
      <c r="Q240" s="40">
        <v>131919508.5415</v>
      </c>
      <c r="R240" s="40">
        <f t="shared" si="58"/>
        <v>-2734288.17</v>
      </c>
      <c r="S240" s="40">
        <v>3957585.2562000002</v>
      </c>
      <c r="T240" s="40">
        <v>0</v>
      </c>
      <c r="U240" s="40">
        <f t="shared" si="60"/>
        <v>3957585.2562000002</v>
      </c>
      <c r="V240" s="40">
        <v>48794366.899599999</v>
      </c>
      <c r="W240" s="45">
        <f t="shared" si="50"/>
        <v>181937172.5273</v>
      </c>
    </row>
    <row r="241" spans="1:23" ht="24.9" customHeight="1">
      <c r="A241" s="36"/>
      <c r="B241" s="146" t="s">
        <v>597</v>
      </c>
      <c r="C241" s="147"/>
      <c r="D241" s="41"/>
      <c r="E241" s="41">
        <f>SUM(E228:E240)</f>
        <v>2428949308.8659</v>
      </c>
      <c r="F241" s="41">
        <f>SUM(F228:F240)</f>
        <v>-55779808.391399994</v>
      </c>
      <c r="G241" s="41">
        <f t="shared" ref="G241:H241" si="61">SUM(G228:G240)</f>
        <v>72868479.265900001</v>
      </c>
      <c r="H241" s="41">
        <f t="shared" si="61"/>
        <v>0</v>
      </c>
      <c r="I241" s="41">
        <f t="shared" si="52"/>
        <v>72868479.265900001</v>
      </c>
      <c r="J241" s="41">
        <f>SUM(J228:J240)</f>
        <v>884032562.95249999</v>
      </c>
      <c r="K241" s="41">
        <f>SUM(K228:K240)</f>
        <v>3330070542.6929002</v>
      </c>
      <c r="L241" s="44"/>
      <c r="M241" s="153"/>
      <c r="N241" s="46">
        <v>18</v>
      </c>
      <c r="O241" s="153"/>
      <c r="P241" s="40" t="s">
        <v>598</v>
      </c>
      <c r="Q241" s="40">
        <v>137527515.82550001</v>
      </c>
      <c r="R241" s="40">
        <f t="shared" si="58"/>
        <v>-2734288.17</v>
      </c>
      <c r="S241" s="40">
        <v>4125825.4748</v>
      </c>
      <c r="T241" s="40">
        <v>0</v>
      </c>
      <c r="U241" s="40">
        <f t="shared" si="60"/>
        <v>4125825.4748</v>
      </c>
      <c r="V241" s="40">
        <v>54713336.876199998</v>
      </c>
      <c r="W241" s="45">
        <f t="shared" si="50"/>
        <v>193632390.00650001</v>
      </c>
    </row>
    <row r="242" spans="1:23" ht="24.9" customHeight="1">
      <c r="A242" s="151">
        <v>12</v>
      </c>
      <c r="B242" s="152" t="s">
        <v>599</v>
      </c>
      <c r="C242" s="36">
        <v>1</v>
      </c>
      <c r="D242" s="40" t="s">
        <v>600</v>
      </c>
      <c r="E242" s="40">
        <v>223481996.61610001</v>
      </c>
      <c r="F242" s="40">
        <v>0</v>
      </c>
      <c r="G242" s="40">
        <v>6704459.8985000001</v>
      </c>
      <c r="H242" s="40">
        <f t="shared" ref="H242:H259" si="62">G242/2</f>
        <v>3352229.9492500001</v>
      </c>
      <c r="I242" s="40">
        <f t="shared" si="52"/>
        <v>3352229.9492500001</v>
      </c>
      <c r="J242" s="53">
        <v>84437458.2491</v>
      </c>
      <c r="K242" s="45">
        <f t="shared" si="49"/>
        <v>311271684.81445003</v>
      </c>
      <c r="L242" s="44"/>
      <c r="M242" s="153"/>
      <c r="N242" s="46">
        <v>19</v>
      </c>
      <c r="O242" s="153"/>
      <c r="P242" s="40" t="s">
        <v>601</v>
      </c>
      <c r="Q242" s="40">
        <v>145737137.05509999</v>
      </c>
      <c r="R242" s="40">
        <f t="shared" si="58"/>
        <v>-2734288.17</v>
      </c>
      <c r="S242" s="40">
        <v>4372114.1117000002</v>
      </c>
      <c r="T242" s="40">
        <v>0</v>
      </c>
      <c r="U242" s="40">
        <f t="shared" si="60"/>
        <v>4372114.1117000002</v>
      </c>
      <c r="V242" s="40">
        <v>54310516.794</v>
      </c>
      <c r="W242" s="45">
        <f t="shared" si="50"/>
        <v>201685479.79080001</v>
      </c>
    </row>
    <row r="243" spans="1:23" ht="24.9" customHeight="1">
      <c r="A243" s="151"/>
      <c r="B243" s="153"/>
      <c r="C243" s="36">
        <v>2</v>
      </c>
      <c r="D243" s="40" t="s">
        <v>602</v>
      </c>
      <c r="E243" s="40">
        <v>212259267.4522</v>
      </c>
      <c r="F243" s="40">
        <v>0</v>
      </c>
      <c r="G243" s="40">
        <v>6367778.0236</v>
      </c>
      <c r="H243" s="40">
        <f t="shared" si="62"/>
        <v>3183889.0118</v>
      </c>
      <c r="I243" s="40">
        <f t="shared" si="52"/>
        <v>3183889.0118</v>
      </c>
      <c r="J243" s="53">
        <v>94775621.024000004</v>
      </c>
      <c r="K243" s="45">
        <f t="shared" si="49"/>
        <v>310218777.48800004</v>
      </c>
      <c r="L243" s="44"/>
      <c r="M243" s="153"/>
      <c r="N243" s="46">
        <v>20</v>
      </c>
      <c r="O243" s="153"/>
      <c r="P243" s="40" t="s">
        <v>341</v>
      </c>
      <c r="Q243" s="40">
        <v>144228433.57969999</v>
      </c>
      <c r="R243" s="40">
        <f t="shared" si="58"/>
        <v>-2734288.17</v>
      </c>
      <c r="S243" s="40">
        <v>4326853.0073999995</v>
      </c>
      <c r="T243" s="40">
        <v>0</v>
      </c>
      <c r="U243" s="40">
        <f t="shared" si="60"/>
        <v>4326853.0073999995</v>
      </c>
      <c r="V243" s="40">
        <v>56429209.552100003</v>
      </c>
      <c r="W243" s="45">
        <f t="shared" si="50"/>
        <v>202250207.96920002</v>
      </c>
    </row>
    <row r="244" spans="1:23" ht="24.9" customHeight="1">
      <c r="A244" s="151"/>
      <c r="B244" s="153"/>
      <c r="C244" s="36">
        <v>3</v>
      </c>
      <c r="D244" s="40" t="s">
        <v>603</v>
      </c>
      <c r="E244" s="40">
        <v>140455845.00209999</v>
      </c>
      <c r="F244" s="40">
        <v>0</v>
      </c>
      <c r="G244" s="40">
        <v>4213675.3501000004</v>
      </c>
      <c r="H244" s="40">
        <f t="shared" si="62"/>
        <v>2106837.6750500002</v>
      </c>
      <c r="I244" s="40">
        <f t="shared" si="52"/>
        <v>2106837.6750500002</v>
      </c>
      <c r="J244" s="53">
        <v>63598728.825800002</v>
      </c>
      <c r="K244" s="45">
        <f t="shared" si="49"/>
        <v>206161411.50295001</v>
      </c>
      <c r="L244" s="44"/>
      <c r="M244" s="153"/>
      <c r="N244" s="46">
        <v>21</v>
      </c>
      <c r="O244" s="153"/>
      <c r="P244" s="40" t="s">
        <v>604</v>
      </c>
      <c r="Q244" s="40">
        <v>156049729.44679999</v>
      </c>
      <c r="R244" s="40">
        <f t="shared" si="58"/>
        <v>-2734288.17</v>
      </c>
      <c r="S244" s="40">
        <v>4681491.8833999997</v>
      </c>
      <c r="T244" s="40">
        <v>0</v>
      </c>
      <c r="U244" s="40">
        <f t="shared" si="60"/>
        <v>4681491.8833999997</v>
      </c>
      <c r="V244" s="40">
        <v>59632366.8006</v>
      </c>
      <c r="W244" s="45">
        <f t="shared" si="50"/>
        <v>217629299.96079999</v>
      </c>
    </row>
    <row r="245" spans="1:23" ht="24.9" customHeight="1">
      <c r="A245" s="151"/>
      <c r="B245" s="153"/>
      <c r="C245" s="36">
        <v>4</v>
      </c>
      <c r="D245" s="40" t="s">
        <v>605</v>
      </c>
      <c r="E245" s="40">
        <v>144603430.7394</v>
      </c>
      <c r="F245" s="40">
        <v>0</v>
      </c>
      <c r="G245" s="40">
        <v>4338102.9221999999</v>
      </c>
      <c r="H245" s="40">
        <f t="shared" si="62"/>
        <v>2169051.4611</v>
      </c>
      <c r="I245" s="40">
        <f t="shared" si="52"/>
        <v>2169051.4611</v>
      </c>
      <c r="J245" s="53">
        <v>65464114.069399998</v>
      </c>
      <c r="K245" s="45">
        <f t="shared" si="49"/>
        <v>212236596.26989996</v>
      </c>
      <c r="L245" s="44"/>
      <c r="M245" s="153"/>
      <c r="N245" s="46">
        <v>22</v>
      </c>
      <c r="O245" s="153"/>
      <c r="P245" s="40" t="s">
        <v>606</v>
      </c>
      <c r="Q245" s="40">
        <v>141641011.0846</v>
      </c>
      <c r="R245" s="40">
        <f t="shared" si="58"/>
        <v>-2734288.17</v>
      </c>
      <c r="S245" s="40">
        <v>4249230.3324999996</v>
      </c>
      <c r="T245" s="40">
        <v>0</v>
      </c>
      <c r="U245" s="40">
        <f t="shared" si="60"/>
        <v>4249230.3324999996</v>
      </c>
      <c r="V245" s="40">
        <v>54260280.5713</v>
      </c>
      <c r="W245" s="45">
        <f t="shared" si="50"/>
        <v>197416233.81840003</v>
      </c>
    </row>
    <row r="246" spans="1:23" ht="24.9" customHeight="1">
      <c r="A246" s="151"/>
      <c r="B246" s="153"/>
      <c r="C246" s="36">
        <v>5</v>
      </c>
      <c r="D246" s="40" t="s">
        <v>607</v>
      </c>
      <c r="E246" s="40">
        <v>173140180.845</v>
      </c>
      <c r="F246" s="40">
        <v>0</v>
      </c>
      <c r="G246" s="40">
        <v>5194205.4253000002</v>
      </c>
      <c r="H246" s="40">
        <f t="shared" si="62"/>
        <v>2597102.7126500001</v>
      </c>
      <c r="I246" s="40">
        <f t="shared" si="52"/>
        <v>2597102.7126500001</v>
      </c>
      <c r="J246" s="53">
        <v>71893154.476600006</v>
      </c>
      <c r="K246" s="45">
        <f t="shared" si="49"/>
        <v>247630438.03425002</v>
      </c>
      <c r="L246" s="44"/>
      <c r="M246" s="153"/>
      <c r="N246" s="46">
        <v>23</v>
      </c>
      <c r="O246" s="153"/>
      <c r="P246" s="40" t="s">
        <v>608</v>
      </c>
      <c r="Q246" s="40">
        <v>174167499.7132</v>
      </c>
      <c r="R246" s="40">
        <f t="shared" si="58"/>
        <v>-2734288.17</v>
      </c>
      <c r="S246" s="40">
        <v>5225024.9913999997</v>
      </c>
      <c r="T246" s="40">
        <v>0</v>
      </c>
      <c r="U246" s="40">
        <f t="shared" si="60"/>
        <v>5225024.9913999997</v>
      </c>
      <c r="V246" s="40">
        <v>65982065.8719</v>
      </c>
      <c r="W246" s="45">
        <f t="shared" si="50"/>
        <v>242640302.40650001</v>
      </c>
    </row>
    <row r="247" spans="1:23" ht="24.9" customHeight="1">
      <c r="A247" s="151"/>
      <c r="B247" s="153"/>
      <c r="C247" s="36">
        <v>6</v>
      </c>
      <c r="D247" s="40" t="s">
        <v>609</v>
      </c>
      <c r="E247" s="40">
        <v>147162894.33770001</v>
      </c>
      <c r="F247" s="40">
        <v>0</v>
      </c>
      <c r="G247" s="40">
        <v>4414886.8300999999</v>
      </c>
      <c r="H247" s="40">
        <f t="shared" si="62"/>
        <v>2207443.41505</v>
      </c>
      <c r="I247" s="40">
        <f t="shared" si="52"/>
        <v>2207443.41505</v>
      </c>
      <c r="J247" s="53">
        <v>66327432.859800003</v>
      </c>
      <c r="K247" s="45">
        <f t="shared" si="49"/>
        <v>215697770.61255002</v>
      </c>
      <c r="L247" s="44"/>
      <c r="M247" s="153"/>
      <c r="N247" s="46">
        <v>24</v>
      </c>
      <c r="O247" s="153"/>
      <c r="P247" s="40" t="s">
        <v>610</v>
      </c>
      <c r="Q247" s="40">
        <v>144430751.35330001</v>
      </c>
      <c r="R247" s="40">
        <f t="shared" si="58"/>
        <v>-2734288.17</v>
      </c>
      <c r="S247" s="40">
        <v>4332922.5405999999</v>
      </c>
      <c r="T247" s="40">
        <v>0</v>
      </c>
      <c r="U247" s="40">
        <f t="shared" si="60"/>
        <v>4332922.5405999999</v>
      </c>
      <c r="V247" s="40">
        <v>56032369.972599998</v>
      </c>
      <c r="W247" s="45">
        <f t="shared" si="50"/>
        <v>202061755.6965</v>
      </c>
    </row>
    <row r="248" spans="1:23" ht="24.9" customHeight="1">
      <c r="A248" s="151"/>
      <c r="B248" s="153"/>
      <c r="C248" s="36">
        <v>7</v>
      </c>
      <c r="D248" s="40" t="s">
        <v>611</v>
      </c>
      <c r="E248" s="40">
        <v>147298252.25479999</v>
      </c>
      <c r="F248" s="40">
        <v>0</v>
      </c>
      <c r="G248" s="40">
        <v>4418947.5675999997</v>
      </c>
      <c r="H248" s="40">
        <f t="shared" si="62"/>
        <v>2209473.7837999999</v>
      </c>
      <c r="I248" s="40">
        <f t="shared" si="52"/>
        <v>2209473.7837999999</v>
      </c>
      <c r="J248" s="53">
        <v>62172046.680699997</v>
      </c>
      <c r="K248" s="45">
        <f t="shared" si="49"/>
        <v>211679772.7193</v>
      </c>
      <c r="L248" s="44"/>
      <c r="M248" s="153"/>
      <c r="N248" s="46">
        <v>25</v>
      </c>
      <c r="O248" s="153"/>
      <c r="P248" s="40" t="s">
        <v>612</v>
      </c>
      <c r="Q248" s="40">
        <v>190285717.66580001</v>
      </c>
      <c r="R248" s="40">
        <f t="shared" si="58"/>
        <v>-2734288.17</v>
      </c>
      <c r="S248" s="40">
        <v>5708571.5300000003</v>
      </c>
      <c r="T248" s="40">
        <v>0</v>
      </c>
      <c r="U248" s="40">
        <f t="shared" si="60"/>
        <v>5708571.5300000003</v>
      </c>
      <c r="V248" s="40">
        <v>58371278.1303</v>
      </c>
      <c r="W248" s="45">
        <f t="shared" si="50"/>
        <v>251631279.15610003</v>
      </c>
    </row>
    <row r="249" spans="1:23" ht="24.9" customHeight="1">
      <c r="A249" s="151"/>
      <c r="B249" s="153"/>
      <c r="C249" s="36">
        <v>8</v>
      </c>
      <c r="D249" s="40" t="s">
        <v>613</v>
      </c>
      <c r="E249" s="40">
        <v>170878252.5663</v>
      </c>
      <c r="F249" s="40">
        <v>0</v>
      </c>
      <c r="G249" s="40">
        <v>5126347.5769999996</v>
      </c>
      <c r="H249" s="40">
        <f t="shared" si="62"/>
        <v>2563173.7884999998</v>
      </c>
      <c r="I249" s="40">
        <f t="shared" si="52"/>
        <v>2563173.7884999998</v>
      </c>
      <c r="J249" s="53">
        <v>69005900.671000004</v>
      </c>
      <c r="K249" s="45">
        <f t="shared" si="49"/>
        <v>242447327.02579999</v>
      </c>
      <c r="L249" s="44"/>
      <c r="M249" s="153"/>
      <c r="N249" s="46">
        <v>26</v>
      </c>
      <c r="O249" s="153"/>
      <c r="P249" s="40" t="s">
        <v>614</v>
      </c>
      <c r="Q249" s="40">
        <v>130246136.9358</v>
      </c>
      <c r="R249" s="40">
        <f t="shared" si="58"/>
        <v>-2734288.17</v>
      </c>
      <c r="S249" s="40">
        <v>3907384.1080999998</v>
      </c>
      <c r="T249" s="40">
        <v>0</v>
      </c>
      <c r="U249" s="40">
        <f t="shared" si="60"/>
        <v>3907384.1080999998</v>
      </c>
      <c r="V249" s="40">
        <v>50727265.3737</v>
      </c>
      <c r="W249" s="45">
        <f t="shared" si="50"/>
        <v>182146498.24759999</v>
      </c>
    </row>
    <row r="250" spans="1:23" ht="24.9" customHeight="1">
      <c r="A250" s="151"/>
      <c r="B250" s="153"/>
      <c r="C250" s="36">
        <v>9</v>
      </c>
      <c r="D250" s="40" t="s">
        <v>615</v>
      </c>
      <c r="E250" s="40">
        <v>188072490.7647</v>
      </c>
      <c r="F250" s="40">
        <v>0</v>
      </c>
      <c r="G250" s="40">
        <v>5642174.7229000004</v>
      </c>
      <c r="H250" s="40">
        <f t="shared" si="62"/>
        <v>2821087.3614500002</v>
      </c>
      <c r="I250" s="40">
        <f t="shared" si="52"/>
        <v>2821087.3614500002</v>
      </c>
      <c r="J250" s="53">
        <v>75865271.472800002</v>
      </c>
      <c r="K250" s="45">
        <f t="shared" si="49"/>
        <v>266758849.59895003</v>
      </c>
      <c r="L250" s="44"/>
      <c r="M250" s="153"/>
      <c r="N250" s="46">
        <v>27</v>
      </c>
      <c r="O250" s="153"/>
      <c r="P250" s="40" t="s">
        <v>616</v>
      </c>
      <c r="Q250" s="40">
        <v>157538912.87</v>
      </c>
      <c r="R250" s="40">
        <f t="shared" si="58"/>
        <v>-2734288.17</v>
      </c>
      <c r="S250" s="40">
        <v>4726167.3860999998</v>
      </c>
      <c r="T250" s="40">
        <v>0</v>
      </c>
      <c r="U250" s="40">
        <f t="shared" si="60"/>
        <v>4726167.3860999998</v>
      </c>
      <c r="V250" s="40">
        <v>58059095.8891</v>
      </c>
      <c r="W250" s="45">
        <f t="shared" si="50"/>
        <v>217589887.9752</v>
      </c>
    </row>
    <row r="251" spans="1:23" ht="24.9" customHeight="1">
      <c r="A251" s="151"/>
      <c r="B251" s="153"/>
      <c r="C251" s="36">
        <v>10</v>
      </c>
      <c r="D251" s="40" t="s">
        <v>617</v>
      </c>
      <c r="E251" s="40">
        <v>136850335.6187</v>
      </c>
      <c r="F251" s="40">
        <v>0</v>
      </c>
      <c r="G251" s="40">
        <v>4105510.0685999999</v>
      </c>
      <c r="H251" s="40">
        <f t="shared" si="62"/>
        <v>2052755.0342999999</v>
      </c>
      <c r="I251" s="40">
        <f t="shared" si="52"/>
        <v>2052755.0342999999</v>
      </c>
      <c r="J251" s="53">
        <v>58858050.782099999</v>
      </c>
      <c r="K251" s="45">
        <f t="shared" si="49"/>
        <v>197761141.43509999</v>
      </c>
      <c r="L251" s="44"/>
      <c r="M251" s="153"/>
      <c r="N251" s="46">
        <v>28</v>
      </c>
      <c r="O251" s="153"/>
      <c r="P251" s="40" t="s">
        <v>618</v>
      </c>
      <c r="Q251" s="40">
        <v>158044038.53490001</v>
      </c>
      <c r="R251" s="40">
        <f t="shared" si="58"/>
        <v>-2734288.17</v>
      </c>
      <c r="S251" s="40">
        <v>4741321.1560000004</v>
      </c>
      <c r="T251" s="40">
        <v>0</v>
      </c>
      <c r="U251" s="40">
        <f t="shared" si="60"/>
        <v>4741321.1560000004</v>
      </c>
      <c r="V251" s="40">
        <v>60299259.302100003</v>
      </c>
      <c r="W251" s="45">
        <f t="shared" si="50"/>
        <v>220350330.82300001</v>
      </c>
    </row>
    <row r="252" spans="1:23" ht="24.9" customHeight="1">
      <c r="A252" s="151"/>
      <c r="B252" s="153"/>
      <c r="C252" s="36">
        <v>11</v>
      </c>
      <c r="D252" s="40" t="s">
        <v>619</v>
      </c>
      <c r="E252" s="40">
        <v>234819913.9253</v>
      </c>
      <c r="F252" s="40">
        <v>0</v>
      </c>
      <c r="G252" s="40">
        <v>7044597.4177999999</v>
      </c>
      <c r="H252" s="40">
        <f t="shared" si="62"/>
        <v>3522298.7089</v>
      </c>
      <c r="I252" s="40">
        <f t="shared" si="52"/>
        <v>3522298.7089</v>
      </c>
      <c r="J252" s="53">
        <v>98923033.199499995</v>
      </c>
      <c r="K252" s="45">
        <f t="shared" si="49"/>
        <v>337265245.8337</v>
      </c>
      <c r="L252" s="44"/>
      <c r="M252" s="153"/>
      <c r="N252" s="46">
        <v>29</v>
      </c>
      <c r="O252" s="153"/>
      <c r="P252" s="40" t="s">
        <v>620</v>
      </c>
      <c r="Q252" s="40">
        <v>139272451.5483</v>
      </c>
      <c r="R252" s="40">
        <f t="shared" si="58"/>
        <v>-2734288.17</v>
      </c>
      <c r="S252" s="40">
        <v>4178173.5463999999</v>
      </c>
      <c r="T252" s="40">
        <v>0</v>
      </c>
      <c r="U252" s="40">
        <f t="shared" si="60"/>
        <v>4178173.5463999999</v>
      </c>
      <c r="V252" s="40">
        <v>54246990.565300003</v>
      </c>
      <c r="W252" s="45">
        <f t="shared" si="50"/>
        <v>194963327.49000001</v>
      </c>
    </row>
    <row r="253" spans="1:23" ht="24.9" customHeight="1">
      <c r="A253" s="151"/>
      <c r="B253" s="153"/>
      <c r="C253" s="36">
        <v>12</v>
      </c>
      <c r="D253" s="40" t="s">
        <v>621</v>
      </c>
      <c r="E253" s="40">
        <v>241667049.71239999</v>
      </c>
      <c r="F253" s="40">
        <v>0</v>
      </c>
      <c r="G253" s="40">
        <v>7250011.4913999997</v>
      </c>
      <c r="H253" s="40">
        <f t="shared" si="62"/>
        <v>3625005.7456999999</v>
      </c>
      <c r="I253" s="40">
        <f t="shared" si="52"/>
        <v>3625005.7456999999</v>
      </c>
      <c r="J253" s="53">
        <v>99396821.913699999</v>
      </c>
      <c r="K253" s="45">
        <f t="shared" si="49"/>
        <v>344688877.37180001</v>
      </c>
      <c r="L253" s="44"/>
      <c r="M253" s="154"/>
      <c r="N253" s="46">
        <v>30</v>
      </c>
      <c r="O253" s="154"/>
      <c r="P253" s="40" t="s">
        <v>622</v>
      </c>
      <c r="Q253" s="40">
        <v>154951030.00600001</v>
      </c>
      <c r="R253" s="40">
        <f t="shared" si="58"/>
        <v>-2734288.17</v>
      </c>
      <c r="S253" s="40">
        <v>4648530.9002</v>
      </c>
      <c r="T253" s="40">
        <v>0</v>
      </c>
      <c r="U253" s="40">
        <f t="shared" si="60"/>
        <v>4648530.9002</v>
      </c>
      <c r="V253" s="40">
        <v>61372693.087499999</v>
      </c>
      <c r="W253" s="45">
        <f t="shared" si="50"/>
        <v>218237965.82370004</v>
      </c>
    </row>
    <row r="254" spans="1:23" ht="24.9" customHeight="1">
      <c r="A254" s="151"/>
      <c r="B254" s="153"/>
      <c r="C254" s="36">
        <v>13</v>
      </c>
      <c r="D254" s="40" t="s">
        <v>623</v>
      </c>
      <c r="E254" s="40">
        <v>189420390.37009999</v>
      </c>
      <c r="F254" s="40">
        <v>0</v>
      </c>
      <c r="G254" s="40">
        <v>5682611.7111</v>
      </c>
      <c r="H254" s="40">
        <f t="shared" si="62"/>
        <v>2841305.85555</v>
      </c>
      <c r="I254" s="40">
        <f t="shared" si="52"/>
        <v>2841305.85555</v>
      </c>
      <c r="J254" s="53">
        <v>73886123.777799994</v>
      </c>
      <c r="K254" s="45">
        <f t="shared" si="49"/>
        <v>266147820.00345001</v>
      </c>
      <c r="L254" s="44"/>
      <c r="M254" s="36"/>
      <c r="N254" s="147" t="s">
        <v>624</v>
      </c>
      <c r="O254" s="148"/>
      <c r="P254" s="41"/>
      <c r="Q254" s="41">
        <f t="shared" ref="Q254:S254" si="63">SUM(Q224:Q253)</f>
        <v>4415832956.9031</v>
      </c>
      <c r="R254" s="41">
        <f t="shared" si="63"/>
        <v>-82028645.100000039</v>
      </c>
      <c r="S254" s="41">
        <f t="shared" si="63"/>
        <v>132474988.70709999</v>
      </c>
      <c r="T254" s="41">
        <f t="shared" ref="T254" si="64">SUM(T224:T253)</f>
        <v>0</v>
      </c>
      <c r="U254" s="41">
        <f t="shared" si="60"/>
        <v>132474988.70709999</v>
      </c>
      <c r="V254" s="41">
        <f>SUM(V224:V253)</f>
        <v>1671429539.3645003</v>
      </c>
      <c r="W254" s="41">
        <f>SUM(W224:W253)</f>
        <v>6137708839.8746996</v>
      </c>
    </row>
    <row r="255" spans="1:23" ht="24.9" customHeight="1">
      <c r="A255" s="151"/>
      <c r="B255" s="153"/>
      <c r="C255" s="36">
        <v>14</v>
      </c>
      <c r="D255" s="40" t="s">
        <v>625</v>
      </c>
      <c r="E255" s="40">
        <v>180645530.84619999</v>
      </c>
      <c r="F255" s="40">
        <v>0</v>
      </c>
      <c r="G255" s="40">
        <v>5419365.9254000001</v>
      </c>
      <c r="H255" s="40">
        <f t="shared" si="62"/>
        <v>2709682.9627</v>
      </c>
      <c r="I255" s="40">
        <f t="shared" si="52"/>
        <v>2709682.9627</v>
      </c>
      <c r="J255" s="53">
        <v>70049564.842899993</v>
      </c>
      <c r="K255" s="45">
        <f t="shared" si="49"/>
        <v>253404778.65179998</v>
      </c>
      <c r="L255" s="44"/>
      <c r="M255" s="152">
        <v>30</v>
      </c>
      <c r="N255" s="46">
        <v>1</v>
      </c>
      <c r="O255" s="152" t="s">
        <v>112</v>
      </c>
      <c r="P255" s="40" t="s">
        <v>626</v>
      </c>
      <c r="Q255" s="40">
        <v>152501270.35820001</v>
      </c>
      <c r="R255" s="40">
        <f t="shared" ref="R255:R287" si="65">-2536017.62</f>
        <v>-2536017.62</v>
      </c>
      <c r="S255" s="40">
        <v>4575038.1107000001</v>
      </c>
      <c r="T255" s="40">
        <v>0</v>
      </c>
      <c r="U255" s="40">
        <f t="shared" si="60"/>
        <v>4575038.1107000001</v>
      </c>
      <c r="V255" s="40">
        <v>85405288.656499997</v>
      </c>
      <c r="W255" s="45">
        <f t="shared" si="50"/>
        <v>239945579.5054</v>
      </c>
    </row>
    <row r="256" spans="1:23" ht="24.9" customHeight="1">
      <c r="A256" s="151"/>
      <c r="B256" s="153"/>
      <c r="C256" s="36">
        <v>15</v>
      </c>
      <c r="D256" s="40" t="s">
        <v>627</v>
      </c>
      <c r="E256" s="40">
        <v>197159733.37329999</v>
      </c>
      <c r="F256" s="40">
        <v>0</v>
      </c>
      <c r="G256" s="40">
        <v>5914792.0011999998</v>
      </c>
      <c r="H256" s="40">
        <f t="shared" si="62"/>
        <v>2957396.0005999999</v>
      </c>
      <c r="I256" s="40">
        <f t="shared" si="52"/>
        <v>2957396.0005999999</v>
      </c>
      <c r="J256" s="53">
        <v>67591844.031499997</v>
      </c>
      <c r="K256" s="45">
        <f t="shared" si="49"/>
        <v>267708973.40539998</v>
      </c>
      <c r="L256" s="44"/>
      <c r="M256" s="153"/>
      <c r="N256" s="46">
        <v>2</v>
      </c>
      <c r="O256" s="153"/>
      <c r="P256" s="40" t="s">
        <v>628</v>
      </c>
      <c r="Q256" s="40">
        <v>177099468.99680001</v>
      </c>
      <c r="R256" s="40">
        <f t="shared" si="65"/>
        <v>-2536017.62</v>
      </c>
      <c r="S256" s="40">
        <v>5312984.0698999995</v>
      </c>
      <c r="T256" s="40">
        <v>0</v>
      </c>
      <c r="U256" s="40">
        <f t="shared" si="60"/>
        <v>5312984.0698999995</v>
      </c>
      <c r="V256" s="40">
        <v>95663312.695199996</v>
      </c>
      <c r="W256" s="45">
        <f t="shared" si="50"/>
        <v>275539748.1419</v>
      </c>
    </row>
    <row r="257" spans="1:23" ht="24.9" customHeight="1">
      <c r="A257" s="151"/>
      <c r="B257" s="153"/>
      <c r="C257" s="36">
        <v>16</v>
      </c>
      <c r="D257" s="40" t="s">
        <v>629</v>
      </c>
      <c r="E257" s="40">
        <v>172950042.90130001</v>
      </c>
      <c r="F257" s="40">
        <v>0</v>
      </c>
      <c r="G257" s="40">
        <v>5188501.2869999995</v>
      </c>
      <c r="H257" s="40">
        <f t="shared" si="62"/>
        <v>2594250.6434999998</v>
      </c>
      <c r="I257" s="40">
        <f t="shared" si="52"/>
        <v>2594250.6434999998</v>
      </c>
      <c r="J257" s="53">
        <v>70120799.275099993</v>
      </c>
      <c r="K257" s="45">
        <f t="shared" si="49"/>
        <v>245665092.81990001</v>
      </c>
      <c r="L257" s="44"/>
      <c r="M257" s="153"/>
      <c r="N257" s="46">
        <v>3</v>
      </c>
      <c r="O257" s="153"/>
      <c r="P257" s="40" t="s">
        <v>630</v>
      </c>
      <c r="Q257" s="40">
        <v>176410422.655</v>
      </c>
      <c r="R257" s="40">
        <f t="shared" si="65"/>
        <v>-2536017.62</v>
      </c>
      <c r="S257" s="40">
        <v>5292312.6796000004</v>
      </c>
      <c r="T257" s="40">
        <v>0</v>
      </c>
      <c r="U257" s="40">
        <f t="shared" si="60"/>
        <v>5292312.6796000004</v>
      </c>
      <c r="V257" s="40">
        <v>90127094.8917</v>
      </c>
      <c r="W257" s="45">
        <f t="shared" si="50"/>
        <v>269293812.6063</v>
      </c>
    </row>
    <row r="258" spans="1:23" ht="24.9" customHeight="1">
      <c r="A258" s="151"/>
      <c r="B258" s="153"/>
      <c r="C258" s="36">
        <v>17</v>
      </c>
      <c r="D258" s="40" t="s">
        <v>631</v>
      </c>
      <c r="E258" s="40">
        <v>141842519.56999999</v>
      </c>
      <c r="F258" s="40">
        <v>0</v>
      </c>
      <c r="G258" s="40">
        <v>4255275.5871000001</v>
      </c>
      <c r="H258" s="40">
        <f t="shared" si="62"/>
        <v>2127637.7935500001</v>
      </c>
      <c r="I258" s="40">
        <f t="shared" si="52"/>
        <v>2127637.7935500001</v>
      </c>
      <c r="J258" s="53">
        <v>62545894.549699999</v>
      </c>
      <c r="K258" s="45">
        <f t="shared" si="49"/>
        <v>206516051.91324997</v>
      </c>
      <c r="L258" s="44"/>
      <c r="M258" s="153"/>
      <c r="N258" s="46">
        <v>4</v>
      </c>
      <c r="O258" s="153"/>
      <c r="P258" s="40" t="s">
        <v>632</v>
      </c>
      <c r="Q258" s="40">
        <v>189003012.2227</v>
      </c>
      <c r="R258" s="40">
        <f t="shared" si="65"/>
        <v>-2536017.62</v>
      </c>
      <c r="S258" s="40">
        <v>5670090.3667000001</v>
      </c>
      <c r="T258" s="40">
        <v>0</v>
      </c>
      <c r="U258" s="40">
        <f t="shared" si="60"/>
        <v>5670090.3667000001</v>
      </c>
      <c r="V258" s="40">
        <v>82297952.351400003</v>
      </c>
      <c r="W258" s="45">
        <f t="shared" si="50"/>
        <v>274435037.32080001</v>
      </c>
    </row>
    <row r="259" spans="1:23" ht="24.9" customHeight="1">
      <c r="A259" s="151"/>
      <c r="B259" s="154"/>
      <c r="C259" s="36">
        <v>18</v>
      </c>
      <c r="D259" s="40" t="s">
        <v>633</v>
      </c>
      <c r="E259" s="40">
        <v>176508705.65169999</v>
      </c>
      <c r="F259" s="40">
        <v>0</v>
      </c>
      <c r="G259" s="40">
        <v>5295261.1694999998</v>
      </c>
      <c r="H259" s="40">
        <f t="shared" si="62"/>
        <v>2647630.5847499999</v>
      </c>
      <c r="I259" s="40">
        <f t="shared" si="52"/>
        <v>2647630.5847499999</v>
      </c>
      <c r="J259" s="53">
        <v>65659078.457500003</v>
      </c>
      <c r="K259" s="45">
        <f t="shared" si="49"/>
        <v>244815414.69395</v>
      </c>
      <c r="L259" s="44"/>
      <c r="M259" s="153"/>
      <c r="N259" s="46">
        <v>5</v>
      </c>
      <c r="O259" s="153"/>
      <c r="P259" s="40" t="s">
        <v>634</v>
      </c>
      <c r="Q259" s="40">
        <v>191762515.84650001</v>
      </c>
      <c r="R259" s="40">
        <f t="shared" si="65"/>
        <v>-2536017.62</v>
      </c>
      <c r="S259" s="40">
        <v>5752875.4753999999</v>
      </c>
      <c r="T259" s="40">
        <v>0</v>
      </c>
      <c r="U259" s="40">
        <f t="shared" si="60"/>
        <v>5752875.4753999999</v>
      </c>
      <c r="V259" s="40">
        <v>104994757.5149</v>
      </c>
      <c r="W259" s="45">
        <f t="shared" si="50"/>
        <v>299974131.21679997</v>
      </c>
    </row>
    <row r="260" spans="1:23" ht="24.9" customHeight="1">
      <c r="A260" s="36"/>
      <c r="B260" s="146" t="s">
        <v>599</v>
      </c>
      <c r="C260" s="147"/>
      <c r="D260" s="41"/>
      <c r="E260" s="41">
        <f>SUM(E242:E259)</f>
        <v>3219216832.5473003</v>
      </c>
      <c r="F260" s="41">
        <f t="shared" ref="F260:K260" si="66">SUM(F242:F259)</f>
        <v>0</v>
      </c>
      <c r="G260" s="41">
        <f t="shared" si="66"/>
        <v>96576504.976400003</v>
      </c>
      <c r="H260" s="41">
        <f t="shared" si="66"/>
        <v>48288252.488200001</v>
      </c>
      <c r="I260" s="41">
        <f t="shared" si="66"/>
        <v>48288252.488200001</v>
      </c>
      <c r="J260" s="41">
        <f t="shared" si="66"/>
        <v>1320570939.1589999</v>
      </c>
      <c r="K260" s="41">
        <f t="shared" si="66"/>
        <v>4588076024.1945</v>
      </c>
      <c r="L260" s="44"/>
      <c r="M260" s="153"/>
      <c r="N260" s="46">
        <v>6</v>
      </c>
      <c r="O260" s="153"/>
      <c r="P260" s="40" t="s">
        <v>635</v>
      </c>
      <c r="Q260" s="40">
        <v>197092832.75479999</v>
      </c>
      <c r="R260" s="40">
        <f t="shared" si="65"/>
        <v>-2536017.62</v>
      </c>
      <c r="S260" s="40">
        <v>5912784.9825999998</v>
      </c>
      <c r="T260" s="40">
        <v>0</v>
      </c>
      <c r="U260" s="40">
        <f t="shared" si="60"/>
        <v>5912784.9825999998</v>
      </c>
      <c r="V260" s="40">
        <v>108346762.83059999</v>
      </c>
      <c r="W260" s="45">
        <f t="shared" si="50"/>
        <v>308816362.94799995</v>
      </c>
    </row>
    <row r="261" spans="1:23" ht="24.9" customHeight="1">
      <c r="A261" s="151">
        <v>13</v>
      </c>
      <c r="B261" s="152" t="s">
        <v>636</v>
      </c>
      <c r="C261" s="36">
        <v>1</v>
      </c>
      <c r="D261" s="40" t="s">
        <v>637</v>
      </c>
      <c r="E261" s="40">
        <v>207401484.92160001</v>
      </c>
      <c r="F261" s="40">
        <v>0</v>
      </c>
      <c r="G261" s="40">
        <v>6222044.5476000002</v>
      </c>
      <c r="H261" s="40">
        <v>0</v>
      </c>
      <c r="I261" s="40">
        <f t="shared" si="52"/>
        <v>6222044.5476000002</v>
      </c>
      <c r="J261" s="53">
        <v>83442241.803800002</v>
      </c>
      <c r="K261" s="45">
        <f t="shared" si="49"/>
        <v>297065771.273</v>
      </c>
      <c r="L261" s="44"/>
      <c r="M261" s="153"/>
      <c r="N261" s="46">
        <v>7</v>
      </c>
      <c r="O261" s="153"/>
      <c r="P261" s="40" t="s">
        <v>638</v>
      </c>
      <c r="Q261" s="40">
        <v>213676291.05500001</v>
      </c>
      <c r="R261" s="40">
        <f t="shared" si="65"/>
        <v>-2536017.62</v>
      </c>
      <c r="S261" s="40">
        <v>6410288.7317000004</v>
      </c>
      <c r="T261" s="40">
        <v>0</v>
      </c>
      <c r="U261" s="40">
        <f t="shared" si="60"/>
        <v>6410288.7317000004</v>
      </c>
      <c r="V261" s="40">
        <v>111483735.8492</v>
      </c>
      <c r="W261" s="45">
        <f t="shared" si="50"/>
        <v>329034298.01590002</v>
      </c>
    </row>
    <row r="262" spans="1:23" ht="24.9" customHeight="1">
      <c r="A262" s="151"/>
      <c r="B262" s="153"/>
      <c r="C262" s="36">
        <v>2</v>
      </c>
      <c r="D262" s="40" t="s">
        <v>639</v>
      </c>
      <c r="E262" s="40">
        <v>157818515.1771</v>
      </c>
      <c r="F262" s="40">
        <v>0</v>
      </c>
      <c r="G262" s="40">
        <v>4734555.4552999996</v>
      </c>
      <c r="H262" s="40">
        <v>0</v>
      </c>
      <c r="I262" s="40">
        <f t="shared" si="52"/>
        <v>4734555.4552999996</v>
      </c>
      <c r="J262" s="53">
        <v>62121350.962499999</v>
      </c>
      <c r="K262" s="45">
        <f t="shared" si="49"/>
        <v>224674421.59490001</v>
      </c>
      <c r="L262" s="44"/>
      <c r="M262" s="153"/>
      <c r="N262" s="46">
        <v>8</v>
      </c>
      <c r="O262" s="153"/>
      <c r="P262" s="40" t="s">
        <v>640</v>
      </c>
      <c r="Q262" s="40">
        <v>157257908.56900001</v>
      </c>
      <c r="R262" s="40">
        <f t="shared" si="65"/>
        <v>-2536017.62</v>
      </c>
      <c r="S262" s="40">
        <v>4717737.2571</v>
      </c>
      <c r="T262" s="40">
        <v>0</v>
      </c>
      <c r="U262" s="40">
        <f t="shared" si="60"/>
        <v>4717737.2571</v>
      </c>
      <c r="V262" s="40">
        <v>87885336.678000003</v>
      </c>
      <c r="W262" s="45">
        <f t="shared" si="50"/>
        <v>247324964.88409999</v>
      </c>
    </row>
    <row r="263" spans="1:23" ht="24.9" customHeight="1">
      <c r="A263" s="151"/>
      <c r="B263" s="153"/>
      <c r="C263" s="36">
        <v>3</v>
      </c>
      <c r="D263" s="40" t="s">
        <v>641</v>
      </c>
      <c r="E263" s="40">
        <v>150477735.20159999</v>
      </c>
      <c r="F263" s="40">
        <v>1E-4</v>
      </c>
      <c r="G263" s="40">
        <v>4514332.0560999997</v>
      </c>
      <c r="H263" s="40">
        <v>0</v>
      </c>
      <c r="I263" s="40">
        <f t="shared" si="52"/>
        <v>4514332.0560999997</v>
      </c>
      <c r="J263" s="53">
        <v>53980956.481399998</v>
      </c>
      <c r="K263" s="45">
        <f t="shared" si="49"/>
        <v>208973023.7392</v>
      </c>
      <c r="L263" s="44"/>
      <c r="M263" s="153"/>
      <c r="N263" s="46">
        <v>9</v>
      </c>
      <c r="O263" s="153"/>
      <c r="P263" s="40" t="s">
        <v>642</v>
      </c>
      <c r="Q263" s="40">
        <v>186631949.68779999</v>
      </c>
      <c r="R263" s="40">
        <f t="shared" si="65"/>
        <v>-2536017.62</v>
      </c>
      <c r="S263" s="40">
        <v>5598958.4906000001</v>
      </c>
      <c r="T263" s="40">
        <v>0</v>
      </c>
      <c r="U263" s="40">
        <f t="shared" si="60"/>
        <v>5598958.4906000001</v>
      </c>
      <c r="V263" s="40">
        <v>102931218.2817</v>
      </c>
      <c r="W263" s="45">
        <f t="shared" si="50"/>
        <v>292626108.84009999</v>
      </c>
    </row>
    <row r="264" spans="1:23" ht="24.9" customHeight="1">
      <c r="A264" s="151"/>
      <c r="B264" s="153"/>
      <c r="C264" s="36">
        <v>4</v>
      </c>
      <c r="D264" s="40" t="s">
        <v>643</v>
      </c>
      <c r="E264" s="40">
        <v>155376430.83250001</v>
      </c>
      <c r="F264" s="40">
        <v>0</v>
      </c>
      <c r="G264" s="40">
        <v>4661292.9249999998</v>
      </c>
      <c r="H264" s="40">
        <v>0</v>
      </c>
      <c r="I264" s="40">
        <f t="shared" si="52"/>
        <v>4661292.9249999998</v>
      </c>
      <c r="J264" s="53">
        <v>60760720.147200003</v>
      </c>
      <c r="K264" s="45">
        <f t="shared" ref="K264:K327" si="67">E264+F264+G264-H264+J264</f>
        <v>220798443.90470004</v>
      </c>
      <c r="L264" s="44"/>
      <c r="M264" s="153"/>
      <c r="N264" s="46">
        <v>10</v>
      </c>
      <c r="O264" s="153"/>
      <c r="P264" s="40" t="s">
        <v>644</v>
      </c>
      <c r="Q264" s="40">
        <v>195395075.1866</v>
      </c>
      <c r="R264" s="40">
        <f t="shared" si="65"/>
        <v>-2536017.62</v>
      </c>
      <c r="S264" s="40">
        <v>5861852.2555999998</v>
      </c>
      <c r="T264" s="40">
        <v>0</v>
      </c>
      <c r="U264" s="40">
        <f t="shared" si="60"/>
        <v>5861852.2555999998</v>
      </c>
      <c r="V264" s="40">
        <v>105129252.3757</v>
      </c>
      <c r="W264" s="45">
        <f t="shared" ref="W264:W327" si="68">Q264+R264+S264-T264+V264</f>
        <v>303850162.1979</v>
      </c>
    </row>
    <row r="265" spans="1:23" ht="24.9" customHeight="1">
      <c r="A265" s="151"/>
      <c r="B265" s="153"/>
      <c r="C265" s="36">
        <v>5</v>
      </c>
      <c r="D265" s="40" t="s">
        <v>645</v>
      </c>
      <c r="E265" s="40">
        <v>164573918.59940001</v>
      </c>
      <c r="F265" s="40">
        <v>0</v>
      </c>
      <c r="G265" s="40">
        <v>4937217.5580000002</v>
      </c>
      <c r="H265" s="40">
        <v>0</v>
      </c>
      <c r="I265" s="40">
        <f t="shared" si="52"/>
        <v>4937217.5580000002</v>
      </c>
      <c r="J265" s="53">
        <v>64391815.589199997</v>
      </c>
      <c r="K265" s="45">
        <f t="shared" si="67"/>
        <v>233902951.7466</v>
      </c>
      <c r="L265" s="44"/>
      <c r="M265" s="153"/>
      <c r="N265" s="46">
        <v>11</v>
      </c>
      <c r="O265" s="153"/>
      <c r="P265" s="40" t="s">
        <v>646</v>
      </c>
      <c r="Q265" s="40">
        <v>141316711.17300001</v>
      </c>
      <c r="R265" s="40">
        <f t="shared" si="65"/>
        <v>-2536017.62</v>
      </c>
      <c r="S265" s="40">
        <v>4239501.3351999996</v>
      </c>
      <c r="T265" s="40">
        <v>0</v>
      </c>
      <c r="U265" s="40">
        <f t="shared" si="60"/>
        <v>4239501.3351999996</v>
      </c>
      <c r="V265" s="40">
        <v>81259604.181799993</v>
      </c>
      <c r="W265" s="45">
        <f t="shared" si="68"/>
        <v>224279799.06999999</v>
      </c>
    </row>
    <row r="266" spans="1:23" ht="24.9" customHeight="1">
      <c r="A266" s="151"/>
      <c r="B266" s="153"/>
      <c r="C266" s="36">
        <v>6</v>
      </c>
      <c r="D266" s="40" t="s">
        <v>647</v>
      </c>
      <c r="E266" s="40">
        <v>167768012.74169999</v>
      </c>
      <c r="F266" s="40">
        <v>0</v>
      </c>
      <c r="G266" s="40">
        <v>5033040.3821999999</v>
      </c>
      <c r="H266" s="40">
        <v>0</v>
      </c>
      <c r="I266" s="40">
        <f t="shared" ref="I266:I329" si="69">G266-H266</f>
        <v>5033040.3821999999</v>
      </c>
      <c r="J266" s="53">
        <v>66334149.967500001</v>
      </c>
      <c r="K266" s="45">
        <f t="shared" si="67"/>
        <v>239135203.0914</v>
      </c>
      <c r="L266" s="44"/>
      <c r="M266" s="153"/>
      <c r="N266" s="46">
        <v>12</v>
      </c>
      <c r="O266" s="153"/>
      <c r="P266" s="40" t="s">
        <v>648</v>
      </c>
      <c r="Q266" s="40">
        <v>147376427.39989999</v>
      </c>
      <c r="R266" s="40">
        <f t="shared" si="65"/>
        <v>-2536017.62</v>
      </c>
      <c r="S266" s="40">
        <v>4421292.8219999997</v>
      </c>
      <c r="T266" s="40">
        <v>0</v>
      </c>
      <c r="U266" s="40">
        <f t="shared" si="60"/>
        <v>4421292.8219999997</v>
      </c>
      <c r="V266" s="40">
        <v>81008821.768399999</v>
      </c>
      <c r="W266" s="45">
        <f t="shared" si="68"/>
        <v>230270524.37029999</v>
      </c>
    </row>
    <row r="267" spans="1:23" ht="24.9" customHeight="1">
      <c r="A267" s="151"/>
      <c r="B267" s="153"/>
      <c r="C267" s="36">
        <v>7</v>
      </c>
      <c r="D267" s="40" t="s">
        <v>649</v>
      </c>
      <c r="E267" s="40">
        <v>138241884.26190001</v>
      </c>
      <c r="F267" s="40">
        <v>0</v>
      </c>
      <c r="G267" s="40">
        <v>4147256.5279000001</v>
      </c>
      <c r="H267" s="40">
        <v>0</v>
      </c>
      <c r="I267" s="40">
        <f t="shared" si="69"/>
        <v>4147256.5279000001</v>
      </c>
      <c r="J267" s="53">
        <v>54903681.598700002</v>
      </c>
      <c r="K267" s="45">
        <f t="shared" si="67"/>
        <v>197292822.38850003</v>
      </c>
      <c r="L267" s="44"/>
      <c r="M267" s="153"/>
      <c r="N267" s="46">
        <v>13</v>
      </c>
      <c r="O267" s="153"/>
      <c r="P267" s="40" t="s">
        <v>650</v>
      </c>
      <c r="Q267" s="40">
        <v>144473581.00740001</v>
      </c>
      <c r="R267" s="40">
        <f t="shared" si="65"/>
        <v>-2536017.62</v>
      </c>
      <c r="S267" s="40">
        <v>4334207.4302000003</v>
      </c>
      <c r="T267" s="40">
        <v>0</v>
      </c>
      <c r="U267" s="40">
        <f t="shared" si="60"/>
        <v>4334207.4302000003</v>
      </c>
      <c r="V267" s="40">
        <v>81297081.998799995</v>
      </c>
      <c r="W267" s="45">
        <f t="shared" si="68"/>
        <v>227568852.81639999</v>
      </c>
    </row>
    <row r="268" spans="1:23" ht="24.9" customHeight="1">
      <c r="A268" s="151"/>
      <c r="B268" s="153"/>
      <c r="C268" s="36">
        <v>8</v>
      </c>
      <c r="D268" s="40" t="s">
        <v>651</v>
      </c>
      <c r="E268" s="40">
        <v>170302942.58270001</v>
      </c>
      <c r="F268" s="40">
        <v>0</v>
      </c>
      <c r="G268" s="40">
        <v>5109088.2774999999</v>
      </c>
      <c r="H268" s="40">
        <v>0</v>
      </c>
      <c r="I268" s="40">
        <f t="shared" si="69"/>
        <v>5109088.2774999999</v>
      </c>
      <c r="J268" s="53">
        <v>63572752.518799998</v>
      </c>
      <c r="K268" s="45">
        <f t="shared" si="67"/>
        <v>238984783.37900001</v>
      </c>
      <c r="L268" s="44"/>
      <c r="M268" s="153"/>
      <c r="N268" s="46">
        <v>14</v>
      </c>
      <c r="O268" s="153"/>
      <c r="P268" s="40" t="s">
        <v>652</v>
      </c>
      <c r="Q268" s="40">
        <v>214581403.06060001</v>
      </c>
      <c r="R268" s="40">
        <f t="shared" si="65"/>
        <v>-2536017.62</v>
      </c>
      <c r="S268" s="40">
        <v>6437442.0917999996</v>
      </c>
      <c r="T268" s="40">
        <v>0</v>
      </c>
      <c r="U268" s="40">
        <f t="shared" si="60"/>
        <v>6437442.0917999996</v>
      </c>
      <c r="V268" s="40">
        <v>104520171.40019999</v>
      </c>
      <c r="W268" s="45">
        <f t="shared" si="68"/>
        <v>323002998.93260002</v>
      </c>
    </row>
    <row r="269" spans="1:23" ht="24.9" customHeight="1">
      <c r="A269" s="151"/>
      <c r="B269" s="153"/>
      <c r="C269" s="36">
        <v>9</v>
      </c>
      <c r="D269" s="40" t="s">
        <v>653</v>
      </c>
      <c r="E269" s="40">
        <v>182217379.35910001</v>
      </c>
      <c r="F269" s="40">
        <v>0</v>
      </c>
      <c r="G269" s="40">
        <v>5466521.3808000004</v>
      </c>
      <c r="H269" s="40">
        <v>0</v>
      </c>
      <c r="I269" s="40">
        <f t="shared" si="69"/>
        <v>5466521.3808000004</v>
      </c>
      <c r="J269" s="53">
        <v>71851230.162300006</v>
      </c>
      <c r="K269" s="45">
        <f t="shared" si="67"/>
        <v>259535130.90220004</v>
      </c>
      <c r="L269" s="44"/>
      <c r="M269" s="153"/>
      <c r="N269" s="46">
        <v>15</v>
      </c>
      <c r="O269" s="153"/>
      <c r="P269" s="40" t="s">
        <v>654</v>
      </c>
      <c r="Q269" s="40">
        <v>146324470.09020001</v>
      </c>
      <c r="R269" s="40">
        <f t="shared" si="65"/>
        <v>-2536017.62</v>
      </c>
      <c r="S269" s="40">
        <v>4389734.1026999997</v>
      </c>
      <c r="T269" s="40">
        <v>0</v>
      </c>
      <c r="U269" s="40">
        <f t="shared" si="60"/>
        <v>4389734.1026999997</v>
      </c>
      <c r="V269" s="40">
        <v>83285931.398100004</v>
      </c>
      <c r="W269" s="45">
        <f t="shared" si="68"/>
        <v>231464117.97100002</v>
      </c>
    </row>
    <row r="270" spans="1:23" ht="24.9" customHeight="1">
      <c r="A270" s="151"/>
      <c r="B270" s="153"/>
      <c r="C270" s="36">
        <v>10</v>
      </c>
      <c r="D270" s="40" t="s">
        <v>655</v>
      </c>
      <c r="E270" s="40">
        <v>159115787.3874</v>
      </c>
      <c r="F270" s="40">
        <v>0</v>
      </c>
      <c r="G270" s="40">
        <v>4773473.6216000002</v>
      </c>
      <c r="H270" s="40">
        <v>0</v>
      </c>
      <c r="I270" s="40">
        <f t="shared" si="69"/>
        <v>4773473.6216000002</v>
      </c>
      <c r="J270" s="53">
        <v>62009980.712099999</v>
      </c>
      <c r="K270" s="45">
        <f t="shared" si="67"/>
        <v>225899241.7211</v>
      </c>
      <c r="L270" s="44"/>
      <c r="M270" s="153"/>
      <c r="N270" s="46">
        <v>16</v>
      </c>
      <c r="O270" s="153"/>
      <c r="P270" s="40" t="s">
        <v>656</v>
      </c>
      <c r="Q270" s="40">
        <v>153546761.801</v>
      </c>
      <c r="R270" s="40">
        <f t="shared" si="65"/>
        <v>-2536017.62</v>
      </c>
      <c r="S270" s="40">
        <v>4606402.8540000003</v>
      </c>
      <c r="T270" s="40">
        <v>0</v>
      </c>
      <c r="U270" s="40">
        <f t="shared" si="60"/>
        <v>4606402.8540000003</v>
      </c>
      <c r="V270" s="40">
        <v>83860989.958199993</v>
      </c>
      <c r="W270" s="45">
        <f t="shared" si="68"/>
        <v>239478136.9932</v>
      </c>
    </row>
    <row r="271" spans="1:23" ht="24.9" customHeight="1">
      <c r="A271" s="151"/>
      <c r="B271" s="153"/>
      <c r="C271" s="36">
        <v>11</v>
      </c>
      <c r="D271" s="40" t="s">
        <v>657</v>
      </c>
      <c r="E271" s="40">
        <v>170518801.55809999</v>
      </c>
      <c r="F271" s="40">
        <v>0</v>
      </c>
      <c r="G271" s="40">
        <v>5115564.0466999998</v>
      </c>
      <c r="H271" s="40">
        <v>0</v>
      </c>
      <c r="I271" s="40">
        <f t="shared" si="69"/>
        <v>5115564.0466999998</v>
      </c>
      <c r="J271" s="53">
        <v>64811646.879000001</v>
      </c>
      <c r="K271" s="45">
        <f t="shared" si="67"/>
        <v>240446012.48379999</v>
      </c>
      <c r="L271" s="44"/>
      <c r="M271" s="153"/>
      <c r="N271" s="46">
        <v>17</v>
      </c>
      <c r="O271" s="153"/>
      <c r="P271" s="40" t="s">
        <v>658</v>
      </c>
      <c r="Q271" s="40">
        <v>200611434.03439999</v>
      </c>
      <c r="R271" s="40">
        <f t="shared" si="65"/>
        <v>-2536017.62</v>
      </c>
      <c r="S271" s="40">
        <v>6018343.0209999997</v>
      </c>
      <c r="T271" s="40">
        <v>0</v>
      </c>
      <c r="U271" s="40">
        <f t="shared" si="60"/>
        <v>6018343.0209999997</v>
      </c>
      <c r="V271" s="40">
        <v>101719169.73360001</v>
      </c>
      <c r="W271" s="45">
        <f t="shared" si="68"/>
        <v>305812929.16899997</v>
      </c>
    </row>
    <row r="272" spans="1:23" ht="24.9" customHeight="1">
      <c r="A272" s="151"/>
      <c r="B272" s="153"/>
      <c r="C272" s="36">
        <v>12</v>
      </c>
      <c r="D272" s="40" t="s">
        <v>659</v>
      </c>
      <c r="E272" s="40">
        <v>119663323.0678</v>
      </c>
      <c r="F272" s="40">
        <v>0</v>
      </c>
      <c r="G272" s="40">
        <v>3589899.6919999998</v>
      </c>
      <c r="H272" s="40">
        <v>0</v>
      </c>
      <c r="I272" s="40">
        <f t="shared" si="69"/>
        <v>3589899.6919999998</v>
      </c>
      <c r="J272" s="53">
        <v>48211631.972499996</v>
      </c>
      <c r="K272" s="45">
        <f t="shared" si="67"/>
        <v>171464854.73229998</v>
      </c>
      <c r="L272" s="44"/>
      <c r="M272" s="153"/>
      <c r="N272" s="46">
        <v>18</v>
      </c>
      <c r="O272" s="153"/>
      <c r="P272" s="40" t="s">
        <v>660</v>
      </c>
      <c r="Q272" s="40">
        <v>173463728.9727</v>
      </c>
      <c r="R272" s="40">
        <f t="shared" si="65"/>
        <v>-2536017.62</v>
      </c>
      <c r="S272" s="40">
        <v>5203911.8691999996</v>
      </c>
      <c r="T272" s="40">
        <v>0</v>
      </c>
      <c r="U272" s="40">
        <f t="shared" si="60"/>
        <v>5203911.8691999996</v>
      </c>
      <c r="V272" s="40">
        <v>84671547.424700007</v>
      </c>
      <c r="W272" s="45">
        <f t="shared" si="68"/>
        <v>260803170.64660001</v>
      </c>
    </row>
    <row r="273" spans="1:23" ht="24.9" customHeight="1">
      <c r="A273" s="151"/>
      <c r="B273" s="153"/>
      <c r="C273" s="36">
        <v>13</v>
      </c>
      <c r="D273" s="40" t="s">
        <v>661</v>
      </c>
      <c r="E273" s="40">
        <v>151665187.17730001</v>
      </c>
      <c r="F273" s="40">
        <v>0</v>
      </c>
      <c r="G273" s="40">
        <v>4549955.6152999997</v>
      </c>
      <c r="H273" s="40">
        <v>0</v>
      </c>
      <c r="I273" s="40">
        <f t="shared" si="69"/>
        <v>4549955.6152999997</v>
      </c>
      <c r="J273" s="53">
        <v>59590402.218000002</v>
      </c>
      <c r="K273" s="45">
        <f t="shared" si="67"/>
        <v>215805545.0106</v>
      </c>
      <c r="L273" s="44"/>
      <c r="M273" s="153"/>
      <c r="N273" s="46">
        <v>19</v>
      </c>
      <c r="O273" s="153"/>
      <c r="P273" s="40" t="s">
        <v>662</v>
      </c>
      <c r="Q273" s="40">
        <v>159242239.4136</v>
      </c>
      <c r="R273" s="40">
        <f t="shared" si="65"/>
        <v>-2536017.62</v>
      </c>
      <c r="S273" s="40">
        <v>4777267.1824000003</v>
      </c>
      <c r="T273" s="40">
        <v>0</v>
      </c>
      <c r="U273" s="40">
        <f t="shared" si="60"/>
        <v>4777267.1824000003</v>
      </c>
      <c r="V273" s="40">
        <v>81259737.081900001</v>
      </c>
      <c r="W273" s="45">
        <f t="shared" si="68"/>
        <v>242743226.05789998</v>
      </c>
    </row>
    <row r="274" spans="1:23" ht="24.9" customHeight="1">
      <c r="A274" s="151"/>
      <c r="B274" s="153"/>
      <c r="C274" s="36">
        <v>14</v>
      </c>
      <c r="D274" s="40" t="s">
        <v>663</v>
      </c>
      <c r="E274" s="40">
        <v>148000522.48199999</v>
      </c>
      <c r="F274" s="40">
        <v>0</v>
      </c>
      <c r="G274" s="40">
        <v>4440015.6744999997</v>
      </c>
      <c r="H274" s="40">
        <v>0</v>
      </c>
      <c r="I274" s="40">
        <f t="shared" si="69"/>
        <v>4440015.6744999997</v>
      </c>
      <c r="J274" s="53">
        <v>57544405.792800002</v>
      </c>
      <c r="K274" s="45">
        <f t="shared" si="67"/>
        <v>209984943.94929999</v>
      </c>
      <c r="L274" s="44"/>
      <c r="M274" s="153"/>
      <c r="N274" s="46">
        <v>20</v>
      </c>
      <c r="O274" s="153"/>
      <c r="P274" s="40" t="s">
        <v>664</v>
      </c>
      <c r="Q274" s="40">
        <v>143786662.07480001</v>
      </c>
      <c r="R274" s="40">
        <f t="shared" si="65"/>
        <v>-2536017.62</v>
      </c>
      <c r="S274" s="40">
        <v>4313599.8622000003</v>
      </c>
      <c r="T274" s="40">
        <v>0</v>
      </c>
      <c r="U274" s="40">
        <f t="shared" si="60"/>
        <v>4313599.8622000003</v>
      </c>
      <c r="V274" s="40">
        <v>78439464.906499997</v>
      </c>
      <c r="W274" s="45">
        <f t="shared" si="68"/>
        <v>224003709.22350001</v>
      </c>
    </row>
    <row r="275" spans="1:23" ht="24.9" customHeight="1">
      <c r="A275" s="151"/>
      <c r="B275" s="153"/>
      <c r="C275" s="36">
        <v>15</v>
      </c>
      <c r="D275" s="40" t="s">
        <v>665</v>
      </c>
      <c r="E275" s="40">
        <v>158732556.73910001</v>
      </c>
      <c r="F275" s="40">
        <v>0</v>
      </c>
      <c r="G275" s="40">
        <v>4761976.7022000002</v>
      </c>
      <c r="H275" s="40">
        <v>0</v>
      </c>
      <c r="I275" s="40">
        <f t="shared" si="69"/>
        <v>4761976.7022000002</v>
      </c>
      <c r="J275" s="53">
        <v>61895819.560500003</v>
      </c>
      <c r="K275" s="45">
        <f t="shared" si="67"/>
        <v>225390353.0018</v>
      </c>
      <c r="L275" s="44"/>
      <c r="M275" s="153"/>
      <c r="N275" s="46">
        <v>21</v>
      </c>
      <c r="O275" s="153"/>
      <c r="P275" s="40" t="s">
        <v>666</v>
      </c>
      <c r="Q275" s="40">
        <v>177575680.82429999</v>
      </c>
      <c r="R275" s="40">
        <f t="shared" si="65"/>
        <v>-2536017.62</v>
      </c>
      <c r="S275" s="40">
        <v>5327270.4247000003</v>
      </c>
      <c r="T275" s="40">
        <v>0</v>
      </c>
      <c r="U275" s="40">
        <f t="shared" si="60"/>
        <v>5327270.4247000003</v>
      </c>
      <c r="V275" s="40">
        <v>94286202.272400007</v>
      </c>
      <c r="W275" s="45">
        <f t="shared" si="68"/>
        <v>274653135.90139997</v>
      </c>
    </row>
    <row r="276" spans="1:23" ht="24.9" customHeight="1">
      <c r="A276" s="151"/>
      <c r="B276" s="154"/>
      <c r="C276" s="36">
        <v>16</v>
      </c>
      <c r="D276" s="40" t="s">
        <v>667</v>
      </c>
      <c r="E276" s="40">
        <v>154300425.7572</v>
      </c>
      <c r="F276" s="40">
        <v>0</v>
      </c>
      <c r="G276" s="40">
        <v>4629012.7726999996</v>
      </c>
      <c r="H276" s="40">
        <v>0</v>
      </c>
      <c r="I276" s="40">
        <f t="shared" si="69"/>
        <v>4629012.7726999996</v>
      </c>
      <c r="J276" s="53">
        <v>60263009.4221</v>
      </c>
      <c r="K276" s="45">
        <f t="shared" si="67"/>
        <v>219192447.95200002</v>
      </c>
      <c r="L276" s="44"/>
      <c r="M276" s="153"/>
      <c r="N276" s="46">
        <v>22</v>
      </c>
      <c r="O276" s="153"/>
      <c r="P276" s="40" t="s">
        <v>668</v>
      </c>
      <c r="Q276" s="40">
        <v>164482072.06909999</v>
      </c>
      <c r="R276" s="40">
        <f t="shared" si="65"/>
        <v>-2536017.62</v>
      </c>
      <c r="S276" s="40">
        <v>4934462.1621000003</v>
      </c>
      <c r="T276" s="40">
        <v>0</v>
      </c>
      <c r="U276" s="40">
        <f t="shared" si="60"/>
        <v>4934462.1621000003</v>
      </c>
      <c r="V276" s="40">
        <v>87237183.084900007</v>
      </c>
      <c r="W276" s="45">
        <f t="shared" si="68"/>
        <v>254117699.6961</v>
      </c>
    </row>
    <row r="277" spans="1:23" ht="24.9" customHeight="1">
      <c r="A277" s="36"/>
      <c r="B277" s="146" t="s">
        <v>669</v>
      </c>
      <c r="C277" s="147"/>
      <c r="D277" s="41"/>
      <c r="E277" s="41">
        <f>SUM(E261:E276)</f>
        <v>2556174907.8465004</v>
      </c>
      <c r="F277" s="41">
        <f t="shared" ref="F277:H277" si="70">SUM(F261:F276)</f>
        <v>1E-4</v>
      </c>
      <c r="G277" s="41">
        <f t="shared" si="70"/>
        <v>76685247.235399991</v>
      </c>
      <c r="H277" s="41">
        <f t="shared" si="70"/>
        <v>0</v>
      </c>
      <c r="I277" s="41">
        <f t="shared" si="69"/>
        <v>76685247.235399991</v>
      </c>
      <c r="J277" s="41">
        <f>SUM(J261:J276)</f>
        <v>995685795.78839993</v>
      </c>
      <c r="K277" s="41">
        <f>SUM(K261:K276)</f>
        <v>3628545950.8703995</v>
      </c>
      <c r="L277" s="44"/>
      <c r="M277" s="153"/>
      <c r="N277" s="46">
        <v>23</v>
      </c>
      <c r="O277" s="153"/>
      <c r="P277" s="40" t="s">
        <v>670</v>
      </c>
      <c r="Q277" s="40">
        <v>170280264.6575</v>
      </c>
      <c r="R277" s="40">
        <f t="shared" si="65"/>
        <v>-2536017.62</v>
      </c>
      <c r="S277" s="40">
        <v>5108407.9397</v>
      </c>
      <c r="T277" s="40">
        <v>0</v>
      </c>
      <c r="U277" s="40">
        <f t="shared" si="60"/>
        <v>5108407.9397</v>
      </c>
      <c r="V277" s="40">
        <v>93983588.835600004</v>
      </c>
      <c r="W277" s="45">
        <f t="shared" si="68"/>
        <v>266836243.81279999</v>
      </c>
    </row>
    <row r="278" spans="1:23" ht="24.9" customHeight="1">
      <c r="A278" s="151">
        <v>14</v>
      </c>
      <c r="B278" s="152" t="s">
        <v>96</v>
      </c>
      <c r="C278" s="36">
        <v>1</v>
      </c>
      <c r="D278" s="40" t="s">
        <v>671</v>
      </c>
      <c r="E278" s="40">
        <v>193287854.99489999</v>
      </c>
      <c r="F278" s="40">
        <v>0</v>
      </c>
      <c r="G278" s="40">
        <v>5798635.6497999998</v>
      </c>
      <c r="H278" s="40">
        <v>0</v>
      </c>
      <c r="I278" s="40">
        <f t="shared" si="69"/>
        <v>5798635.6497999998</v>
      </c>
      <c r="J278" s="53">
        <v>71707910.499200001</v>
      </c>
      <c r="K278" s="45">
        <f t="shared" si="67"/>
        <v>270794401.14389998</v>
      </c>
      <c r="L278" s="44"/>
      <c r="M278" s="153"/>
      <c r="N278" s="46">
        <v>24</v>
      </c>
      <c r="O278" s="153"/>
      <c r="P278" s="40" t="s">
        <v>672</v>
      </c>
      <c r="Q278" s="40">
        <v>145772324.7256</v>
      </c>
      <c r="R278" s="40">
        <f t="shared" si="65"/>
        <v>-2536017.62</v>
      </c>
      <c r="S278" s="40">
        <v>4373169.7418</v>
      </c>
      <c r="T278" s="40">
        <v>0</v>
      </c>
      <c r="U278" s="40">
        <f t="shared" si="60"/>
        <v>4373169.7418</v>
      </c>
      <c r="V278" s="40">
        <v>80972008.451800004</v>
      </c>
      <c r="W278" s="45">
        <f t="shared" si="68"/>
        <v>228581485.2992</v>
      </c>
    </row>
    <row r="279" spans="1:23" ht="24.9" customHeight="1">
      <c r="A279" s="151"/>
      <c r="B279" s="153"/>
      <c r="C279" s="36">
        <v>2</v>
      </c>
      <c r="D279" s="40" t="s">
        <v>673</v>
      </c>
      <c r="E279" s="40">
        <v>162858908.87130001</v>
      </c>
      <c r="F279" s="40">
        <v>0</v>
      </c>
      <c r="G279" s="40">
        <v>4885767.2660999997</v>
      </c>
      <c r="H279" s="40">
        <v>0</v>
      </c>
      <c r="I279" s="40">
        <f t="shared" si="69"/>
        <v>4885767.2660999997</v>
      </c>
      <c r="J279" s="53">
        <v>63147684.728299998</v>
      </c>
      <c r="K279" s="45">
        <f t="shared" si="67"/>
        <v>230892360.86570001</v>
      </c>
      <c r="L279" s="44"/>
      <c r="M279" s="153"/>
      <c r="N279" s="46">
        <v>25</v>
      </c>
      <c r="O279" s="153"/>
      <c r="P279" s="40" t="s">
        <v>674</v>
      </c>
      <c r="Q279" s="40">
        <v>133396033.869</v>
      </c>
      <c r="R279" s="40">
        <f t="shared" si="65"/>
        <v>-2536017.62</v>
      </c>
      <c r="S279" s="40">
        <v>4001881.0161000001</v>
      </c>
      <c r="T279" s="40">
        <v>0</v>
      </c>
      <c r="U279" s="40">
        <f t="shared" si="60"/>
        <v>4001881.0161000001</v>
      </c>
      <c r="V279" s="40">
        <v>76236646.410400003</v>
      </c>
      <c r="W279" s="45">
        <f t="shared" si="68"/>
        <v>211098543.67550001</v>
      </c>
    </row>
    <row r="280" spans="1:23" ht="24.9" customHeight="1">
      <c r="A280" s="151"/>
      <c r="B280" s="153"/>
      <c r="C280" s="36">
        <v>3</v>
      </c>
      <c r="D280" s="40" t="s">
        <v>675</v>
      </c>
      <c r="E280" s="40">
        <v>220446794.44490001</v>
      </c>
      <c r="F280" s="40">
        <v>0</v>
      </c>
      <c r="G280" s="40">
        <v>6613403.8333000001</v>
      </c>
      <c r="H280" s="40">
        <v>0</v>
      </c>
      <c r="I280" s="40">
        <f t="shared" si="69"/>
        <v>6613403.8333000001</v>
      </c>
      <c r="J280" s="53">
        <v>82466834.864399999</v>
      </c>
      <c r="K280" s="45">
        <f t="shared" si="67"/>
        <v>309527033.1426</v>
      </c>
      <c r="L280" s="44"/>
      <c r="M280" s="153"/>
      <c r="N280" s="46">
        <v>26</v>
      </c>
      <c r="O280" s="153"/>
      <c r="P280" s="40" t="s">
        <v>676</v>
      </c>
      <c r="Q280" s="40">
        <v>176824040.85330001</v>
      </c>
      <c r="R280" s="40">
        <f t="shared" si="65"/>
        <v>-2536017.62</v>
      </c>
      <c r="S280" s="40">
        <v>5304721.2255999995</v>
      </c>
      <c r="T280" s="40">
        <v>0</v>
      </c>
      <c r="U280" s="40">
        <f t="shared" si="60"/>
        <v>5304721.2255999995</v>
      </c>
      <c r="V280" s="40">
        <v>94515853.576299995</v>
      </c>
      <c r="W280" s="45">
        <f t="shared" si="68"/>
        <v>274108598.0352</v>
      </c>
    </row>
    <row r="281" spans="1:23" ht="24.9" customHeight="1">
      <c r="A281" s="151"/>
      <c r="B281" s="153"/>
      <c r="C281" s="36">
        <v>4</v>
      </c>
      <c r="D281" s="40" t="s">
        <v>677</v>
      </c>
      <c r="E281" s="40">
        <v>207228084.7166</v>
      </c>
      <c r="F281" s="40">
        <v>0</v>
      </c>
      <c r="G281" s="40">
        <v>6216842.5415000003</v>
      </c>
      <c r="H281" s="40">
        <v>0</v>
      </c>
      <c r="I281" s="40">
        <f t="shared" si="69"/>
        <v>6216842.5415000003</v>
      </c>
      <c r="J281" s="53">
        <v>77916735.506799996</v>
      </c>
      <c r="K281" s="45">
        <f t="shared" si="67"/>
        <v>291361662.76489997</v>
      </c>
      <c r="L281" s="44"/>
      <c r="M281" s="153"/>
      <c r="N281" s="46">
        <v>27</v>
      </c>
      <c r="O281" s="153"/>
      <c r="P281" s="40" t="s">
        <v>678</v>
      </c>
      <c r="Q281" s="40">
        <v>192654734.6961</v>
      </c>
      <c r="R281" s="40">
        <f t="shared" si="65"/>
        <v>-2536017.62</v>
      </c>
      <c r="S281" s="40">
        <v>5779642.0409000004</v>
      </c>
      <c r="T281" s="40">
        <v>0</v>
      </c>
      <c r="U281" s="40">
        <f t="shared" si="60"/>
        <v>5779642.0409000004</v>
      </c>
      <c r="V281" s="40">
        <v>102800045.9224</v>
      </c>
      <c r="W281" s="45">
        <f t="shared" si="68"/>
        <v>298698405.03939998</v>
      </c>
    </row>
    <row r="282" spans="1:23" ht="24.9" customHeight="1">
      <c r="A282" s="151"/>
      <c r="B282" s="153"/>
      <c r="C282" s="36">
        <v>5</v>
      </c>
      <c r="D282" s="40" t="s">
        <v>679</v>
      </c>
      <c r="E282" s="40">
        <v>200365692.97499999</v>
      </c>
      <c r="F282" s="40">
        <v>0</v>
      </c>
      <c r="G282" s="40">
        <v>6010970.7893000003</v>
      </c>
      <c r="H282" s="40">
        <v>0</v>
      </c>
      <c r="I282" s="40">
        <f t="shared" si="69"/>
        <v>6010970.7893000003</v>
      </c>
      <c r="J282" s="53">
        <v>71786188.634599999</v>
      </c>
      <c r="K282" s="45">
        <f t="shared" si="67"/>
        <v>278162852.39889997</v>
      </c>
      <c r="L282" s="44"/>
      <c r="M282" s="153"/>
      <c r="N282" s="46">
        <v>28</v>
      </c>
      <c r="O282" s="153"/>
      <c r="P282" s="40" t="s">
        <v>680</v>
      </c>
      <c r="Q282" s="40">
        <v>147555210.77559999</v>
      </c>
      <c r="R282" s="40">
        <f t="shared" si="65"/>
        <v>-2536017.62</v>
      </c>
      <c r="S282" s="40">
        <v>4426656.3233000003</v>
      </c>
      <c r="T282" s="40">
        <v>0</v>
      </c>
      <c r="U282" s="40">
        <f t="shared" si="60"/>
        <v>4426656.3233000003</v>
      </c>
      <c r="V282" s="40">
        <v>81453904.069700003</v>
      </c>
      <c r="W282" s="45">
        <f t="shared" si="68"/>
        <v>230899753.54859999</v>
      </c>
    </row>
    <row r="283" spans="1:23" ht="24.9" customHeight="1">
      <c r="A283" s="151"/>
      <c r="B283" s="153"/>
      <c r="C283" s="36">
        <v>6</v>
      </c>
      <c r="D283" s="40" t="s">
        <v>681</v>
      </c>
      <c r="E283" s="40">
        <v>192645258.28470001</v>
      </c>
      <c r="F283" s="40">
        <v>0</v>
      </c>
      <c r="G283" s="40">
        <v>5779357.7484999998</v>
      </c>
      <c r="H283" s="40">
        <v>0</v>
      </c>
      <c r="I283" s="40">
        <f t="shared" si="69"/>
        <v>5779357.7484999998</v>
      </c>
      <c r="J283" s="53">
        <v>67931422.391499996</v>
      </c>
      <c r="K283" s="45">
        <f t="shared" si="67"/>
        <v>266356038.42469999</v>
      </c>
      <c r="L283" s="44"/>
      <c r="M283" s="153"/>
      <c r="N283" s="46">
        <v>29</v>
      </c>
      <c r="O283" s="153"/>
      <c r="P283" s="40" t="s">
        <v>682</v>
      </c>
      <c r="Q283" s="40">
        <v>177452241.21830001</v>
      </c>
      <c r="R283" s="40">
        <f t="shared" si="65"/>
        <v>-2536017.62</v>
      </c>
      <c r="S283" s="40">
        <v>5323567.2364999996</v>
      </c>
      <c r="T283" s="40">
        <v>0</v>
      </c>
      <c r="U283" s="40">
        <f t="shared" si="60"/>
        <v>5323567.2364999996</v>
      </c>
      <c r="V283" s="40">
        <v>87592159.145400003</v>
      </c>
      <c r="W283" s="45">
        <f t="shared" si="68"/>
        <v>267831949.98019999</v>
      </c>
    </row>
    <row r="284" spans="1:23" ht="24.9" customHeight="1">
      <c r="A284" s="151"/>
      <c r="B284" s="153"/>
      <c r="C284" s="36">
        <v>7</v>
      </c>
      <c r="D284" s="40" t="s">
        <v>683</v>
      </c>
      <c r="E284" s="40">
        <v>194511203.93990001</v>
      </c>
      <c r="F284" s="40">
        <v>0</v>
      </c>
      <c r="G284" s="40">
        <v>5835336.1182000004</v>
      </c>
      <c r="H284" s="40">
        <v>0</v>
      </c>
      <c r="I284" s="40">
        <f t="shared" si="69"/>
        <v>5835336.1182000004</v>
      </c>
      <c r="J284" s="53">
        <v>73184961.767100006</v>
      </c>
      <c r="K284" s="45">
        <f t="shared" si="67"/>
        <v>273531501.82520002</v>
      </c>
      <c r="L284" s="44"/>
      <c r="M284" s="153"/>
      <c r="N284" s="46">
        <v>30</v>
      </c>
      <c r="O284" s="153"/>
      <c r="P284" s="40" t="s">
        <v>684</v>
      </c>
      <c r="Q284" s="40">
        <v>149828900.99700001</v>
      </c>
      <c r="R284" s="40">
        <f t="shared" si="65"/>
        <v>-2536017.62</v>
      </c>
      <c r="S284" s="40">
        <v>4494867.0299000004</v>
      </c>
      <c r="T284" s="40">
        <v>0</v>
      </c>
      <c r="U284" s="40">
        <f t="shared" si="60"/>
        <v>4494867.0299000004</v>
      </c>
      <c r="V284" s="40">
        <v>84032829.7359</v>
      </c>
      <c r="W284" s="45">
        <f t="shared" si="68"/>
        <v>235820580.14280003</v>
      </c>
    </row>
    <row r="285" spans="1:23" ht="24.9" customHeight="1">
      <c r="A285" s="151"/>
      <c r="B285" s="153"/>
      <c r="C285" s="36">
        <v>8</v>
      </c>
      <c r="D285" s="40" t="s">
        <v>685</v>
      </c>
      <c r="E285" s="40">
        <v>210522836.7631</v>
      </c>
      <c r="F285" s="40">
        <v>0</v>
      </c>
      <c r="G285" s="40">
        <v>6315685.1029000003</v>
      </c>
      <c r="H285" s="40">
        <v>0</v>
      </c>
      <c r="I285" s="40">
        <f t="shared" si="69"/>
        <v>6315685.1029000003</v>
      </c>
      <c r="J285" s="53">
        <v>79854285.482999995</v>
      </c>
      <c r="K285" s="45">
        <f t="shared" si="67"/>
        <v>296692807.34899998</v>
      </c>
      <c r="L285" s="44"/>
      <c r="M285" s="153"/>
      <c r="N285" s="46">
        <v>31</v>
      </c>
      <c r="O285" s="153"/>
      <c r="P285" s="40" t="s">
        <v>686</v>
      </c>
      <c r="Q285" s="40">
        <v>150482971.09040001</v>
      </c>
      <c r="R285" s="40">
        <f t="shared" si="65"/>
        <v>-2536017.62</v>
      </c>
      <c r="S285" s="40">
        <v>4514489.1327</v>
      </c>
      <c r="T285" s="40">
        <v>0</v>
      </c>
      <c r="U285" s="40">
        <f t="shared" si="60"/>
        <v>4514489.1327</v>
      </c>
      <c r="V285" s="40">
        <v>85679461.480499998</v>
      </c>
      <c r="W285" s="45">
        <f t="shared" si="68"/>
        <v>238140904.08359998</v>
      </c>
    </row>
    <row r="286" spans="1:23" ht="24.9" customHeight="1">
      <c r="A286" s="151"/>
      <c r="B286" s="153"/>
      <c r="C286" s="36">
        <v>9</v>
      </c>
      <c r="D286" s="40" t="s">
        <v>687</v>
      </c>
      <c r="E286" s="40">
        <v>191560275.5043</v>
      </c>
      <c r="F286" s="40">
        <v>0</v>
      </c>
      <c r="G286" s="40">
        <v>5746808.2651000004</v>
      </c>
      <c r="H286" s="40">
        <v>0</v>
      </c>
      <c r="I286" s="40">
        <f t="shared" si="69"/>
        <v>5746808.2651000004</v>
      </c>
      <c r="J286" s="53">
        <v>64955790.045900002</v>
      </c>
      <c r="K286" s="45">
        <f t="shared" si="67"/>
        <v>262262873.81529999</v>
      </c>
      <c r="L286" s="44"/>
      <c r="M286" s="153"/>
      <c r="N286" s="46">
        <v>32</v>
      </c>
      <c r="O286" s="153"/>
      <c r="P286" s="40" t="s">
        <v>688</v>
      </c>
      <c r="Q286" s="40">
        <v>149752235.94100001</v>
      </c>
      <c r="R286" s="40">
        <f t="shared" si="65"/>
        <v>-2536017.62</v>
      </c>
      <c r="S286" s="40">
        <v>4492567.0782000003</v>
      </c>
      <c r="T286" s="40">
        <v>0</v>
      </c>
      <c r="U286" s="40">
        <f t="shared" si="60"/>
        <v>4492567.0782000003</v>
      </c>
      <c r="V286" s="40">
        <v>82222332.217199996</v>
      </c>
      <c r="W286" s="45">
        <f t="shared" si="68"/>
        <v>233931117.6164</v>
      </c>
    </row>
    <row r="287" spans="1:23" ht="24.9" customHeight="1">
      <c r="A287" s="151"/>
      <c r="B287" s="153"/>
      <c r="C287" s="36">
        <v>10</v>
      </c>
      <c r="D287" s="40" t="s">
        <v>689</v>
      </c>
      <c r="E287" s="40">
        <v>179140945.69319999</v>
      </c>
      <c r="F287" s="40">
        <v>0</v>
      </c>
      <c r="G287" s="40">
        <v>5374228.3707999997</v>
      </c>
      <c r="H287" s="40">
        <v>0</v>
      </c>
      <c r="I287" s="40">
        <f t="shared" si="69"/>
        <v>5374228.3707999997</v>
      </c>
      <c r="J287" s="53">
        <v>65100252.411200002</v>
      </c>
      <c r="K287" s="45">
        <f t="shared" si="67"/>
        <v>249615426.4752</v>
      </c>
      <c r="L287" s="44"/>
      <c r="M287" s="154"/>
      <c r="N287" s="46">
        <v>33</v>
      </c>
      <c r="O287" s="154"/>
      <c r="P287" s="40" t="s">
        <v>690</v>
      </c>
      <c r="Q287" s="40">
        <v>172617854.6365</v>
      </c>
      <c r="R287" s="40">
        <f t="shared" si="65"/>
        <v>-2536017.62</v>
      </c>
      <c r="S287" s="40">
        <v>5178535.6391000003</v>
      </c>
      <c r="T287" s="40">
        <v>0</v>
      </c>
      <c r="U287" s="40">
        <f t="shared" si="60"/>
        <v>5178535.6391000003</v>
      </c>
      <c r="V287" s="40">
        <v>86454800.431099996</v>
      </c>
      <c r="W287" s="45">
        <f t="shared" si="68"/>
        <v>261715173.08670002</v>
      </c>
    </row>
    <row r="288" spans="1:23" ht="24.9" customHeight="1">
      <c r="A288" s="151"/>
      <c r="B288" s="153"/>
      <c r="C288" s="36">
        <v>11</v>
      </c>
      <c r="D288" s="40" t="s">
        <v>691</v>
      </c>
      <c r="E288" s="40">
        <v>187548528.3281</v>
      </c>
      <c r="F288" s="40">
        <v>0</v>
      </c>
      <c r="G288" s="40">
        <v>5626455.8498</v>
      </c>
      <c r="H288" s="40">
        <v>0</v>
      </c>
      <c r="I288" s="40">
        <f t="shared" si="69"/>
        <v>5626455.8498</v>
      </c>
      <c r="J288" s="53">
        <v>65147963.532799996</v>
      </c>
      <c r="K288" s="45">
        <f t="shared" si="67"/>
        <v>258322947.71069998</v>
      </c>
      <c r="L288" s="44"/>
      <c r="M288" s="36"/>
      <c r="N288" s="147" t="s">
        <v>692</v>
      </c>
      <c r="O288" s="148"/>
      <c r="P288" s="41"/>
      <c r="Q288" s="41">
        <f>SUM(Q255:Q287)</f>
        <v>5570228732.7136993</v>
      </c>
      <c r="R288" s="41">
        <f t="shared" ref="R288:W288" si="71">SUM(R255:R287)</f>
        <v>-83688581.460000008</v>
      </c>
      <c r="S288" s="41">
        <f t="shared" si="71"/>
        <v>167106861.98120004</v>
      </c>
      <c r="T288" s="41">
        <f t="shared" si="71"/>
        <v>0</v>
      </c>
      <c r="U288" s="41">
        <f t="shared" si="60"/>
        <v>167106861.98120004</v>
      </c>
      <c r="V288" s="41">
        <f t="shared" si="71"/>
        <v>2973054247.6106992</v>
      </c>
      <c r="W288" s="41">
        <f t="shared" si="71"/>
        <v>8626701260.8456001</v>
      </c>
    </row>
    <row r="289" spans="1:23" ht="24.9" customHeight="1">
      <c r="A289" s="151"/>
      <c r="B289" s="153"/>
      <c r="C289" s="36">
        <v>12</v>
      </c>
      <c r="D289" s="40" t="s">
        <v>693</v>
      </c>
      <c r="E289" s="40">
        <v>182096473.25839999</v>
      </c>
      <c r="F289" s="40">
        <v>0</v>
      </c>
      <c r="G289" s="40">
        <v>5462894.1978000002</v>
      </c>
      <c r="H289" s="40">
        <v>0</v>
      </c>
      <c r="I289" s="40">
        <f t="shared" si="69"/>
        <v>5462894.1978000002</v>
      </c>
      <c r="J289" s="53">
        <v>64871664.307800002</v>
      </c>
      <c r="K289" s="45">
        <f t="shared" si="67"/>
        <v>252431031.764</v>
      </c>
      <c r="L289" s="44"/>
      <c r="M289" s="152">
        <v>31</v>
      </c>
      <c r="N289" s="46">
        <v>1</v>
      </c>
      <c r="O289" s="152" t="s">
        <v>113</v>
      </c>
      <c r="P289" s="40" t="s">
        <v>694</v>
      </c>
      <c r="Q289" s="40">
        <v>203617732.03659999</v>
      </c>
      <c r="R289" s="40">
        <v>0</v>
      </c>
      <c r="S289" s="40">
        <v>6108531.9611</v>
      </c>
      <c r="T289" s="40">
        <f t="shared" ref="T289:T329" si="72">S289/2</f>
        <v>3054265.98055</v>
      </c>
      <c r="U289" s="40">
        <f t="shared" si="60"/>
        <v>3054265.98055</v>
      </c>
      <c r="V289" s="40">
        <v>65883288.2936</v>
      </c>
      <c r="W289" s="45">
        <f t="shared" si="68"/>
        <v>272555286.31075001</v>
      </c>
    </row>
    <row r="290" spans="1:23" ht="24.9" customHeight="1">
      <c r="A290" s="151"/>
      <c r="B290" s="153"/>
      <c r="C290" s="36">
        <v>13</v>
      </c>
      <c r="D290" s="40" t="s">
        <v>695</v>
      </c>
      <c r="E290" s="40">
        <v>235838754.3317</v>
      </c>
      <c r="F290" s="40">
        <v>0</v>
      </c>
      <c r="G290" s="40">
        <v>7075162.6299999999</v>
      </c>
      <c r="H290" s="40">
        <v>0</v>
      </c>
      <c r="I290" s="40">
        <f t="shared" si="69"/>
        <v>7075162.6299999999</v>
      </c>
      <c r="J290" s="53">
        <v>86526134.299999997</v>
      </c>
      <c r="K290" s="45">
        <f t="shared" si="67"/>
        <v>329440051.26169997</v>
      </c>
      <c r="L290" s="44"/>
      <c r="M290" s="153"/>
      <c r="N290" s="46">
        <v>2</v>
      </c>
      <c r="O290" s="153"/>
      <c r="P290" s="40" t="s">
        <v>289</v>
      </c>
      <c r="Q290" s="40">
        <v>205400158.97080001</v>
      </c>
      <c r="R290" s="40">
        <v>0</v>
      </c>
      <c r="S290" s="40">
        <v>6162004.7691000002</v>
      </c>
      <c r="T290" s="40">
        <f t="shared" si="72"/>
        <v>3081002.3845500001</v>
      </c>
      <c r="U290" s="40">
        <f t="shared" si="60"/>
        <v>3081002.3845500001</v>
      </c>
      <c r="V290" s="40">
        <v>67423865.790299997</v>
      </c>
      <c r="W290" s="45">
        <f t="shared" si="68"/>
        <v>275905027.14565003</v>
      </c>
    </row>
    <row r="291" spans="1:23" ht="24.9" customHeight="1">
      <c r="A291" s="151"/>
      <c r="B291" s="153"/>
      <c r="C291" s="36">
        <v>14</v>
      </c>
      <c r="D291" s="40" t="s">
        <v>696</v>
      </c>
      <c r="E291" s="40">
        <v>161818558.54229999</v>
      </c>
      <c r="F291" s="40">
        <v>0</v>
      </c>
      <c r="G291" s="40">
        <v>4854556.7562999995</v>
      </c>
      <c r="H291" s="40">
        <v>0</v>
      </c>
      <c r="I291" s="40">
        <f t="shared" si="69"/>
        <v>4854556.7562999995</v>
      </c>
      <c r="J291" s="53">
        <v>62199309.899400003</v>
      </c>
      <c r="K291" s="45">
        <f t="shared" si="67"/>
        <v>228872425.19799998</v>
      </c>
      <c r="L291" s="44"/>
      <c r="M291" s="153"/>
      <c r="N291" s="46">
        <v>3</v>
      </c>
      <c r="O291" s="153"/>
      <c r="P291" s="40" t="s">
        <v>697</v>
      </c>
      <c r="Q291" s="40">
        <v>204505105.49110001</v>
      </c>
      <c r="R291" s="40">
        <v>0</v>
      </c>
      <c r="S291" s="40">
        <v>6135153.1646999996</v>
      </c>
      <c r="T291" s="40">
        <f t="shared" si="72"/>
        <v>3067576.5823499998</v>
      </c>
      <c r="U291" s="40">
        <f t="shared" si="60"/>
        <v>3067576.5823499998</v>
      </c>
      <c r="V291" s="40">
        <v>66306840.7852</v>
      </c>
      <c r="W291" s="45">
        <f t="shared" si="68"/>
        <v>273879522.85865003</v>
      </c>
    </row>
    <row r="292" spans="1:23" ht="24.9" customHeight="1">
      <c r="A292" s="151"/>
      <c r="B292" s="153"/>
      <c r="C292" s="36">
        <v>15</v>
      </c>
      <c r="D292" s="40" t="s">
        <v>698</v>
      </c>
      <c r="E292" s="40">
        <v>179106975.31529999</v>
      </c>
      <c r="F292" s="40">
        <v>0</v>
      </c>
      <c r="G292" s="40">
        <v>5373209.2594999997</v>
      </c>
      <c r="H292" s="40">
        <v>0</v>
      </c>
      <c r="I292" s="40">
        <f t="shared" si="69"/>
        <v>5373209.2594999997</v>
      </c>
      <c r="J292" s="53">
        <v>69094032.117200002</v>
      </c>
      <c r="K292" s="45">
        <f t="shared" si="67"/>
        <v>253574216.69199997</v>
      </c>
      <c r="L292" s="44"/>
      <c r="M292" s="153"/>
      <c r="N292" s="46">
        <v>4</v>
      </c>
      <c r="O292" s="153"/>
      <c r="P292" s="40" t="s">
        <v>699</v>
      </c>
      <c r="Q292" s="40">
        <v>155258745.72139999</v>
      </c>
      <c r="R292" s="40">
        <v>0</v>
      </c>
      <c r="S292" s="40">
        <v>4657762.3716000002</v>
      </c>
      <c r="T292" s="40">
        <f t="shared" si="72"/>
        <v>2328881.1858000001</v>
      </c>
      <c r="U292" s="40">
        <f t="shared" si="60"/>
        <v>2328881.1858000001</v>
      </c>
      <c r="V292" s="40">
        <v>53966804.405000001</v>
      </c>
      <c r="W292" s="45">
        <f t="shared" si="68"/>
        <v>211554431.31220001</v>
      </c>
    </row>
    <row r="293" spans="1:23" ht="24.9" customHeight="1">
      <c r="A293" s="151"/>
      <c r="B293" s="153"/>
      <c r="C293" s="36">
        <v>16</v>
      </c>
      <c r="D293" s="40" t="s">
        <v>700</v>
      </c>
      <c r="E293" s="40">
        <v>203373582.31479999</v>
      </c>
      <c r="F293" s="40">
        <v>0</v>
      </c>
      <c r="G293" s="40">
        <v>6101207.4693999998</v>
      </c>
      <c r="H293" s="40">
        <v>0</v>
      </c>
      <c r="I293" s="40">
        <f t="shared" si="69"/>
        <v>6101207.4693999998</v>
      </c>
      <c r="J293" s="53">
        <v>76474769.854800001</v>
      </c>
      <c r="K293" s="45">
        <f t="shared" si="67"/>
        <v>285949559.639</v>
      </c>
      <c r="L293" s="44"/>
      <c r="M293" s="153"/>
      <c r="N293" s="46">
        <v>5</v>
      </c>
      <c r="O293" s="153"/>
      <c r="P293" s="40" t="s">
        <v>701</v>
      </c>
      <c r="Q293" s="40">
        <v>270129028.3125</v>
      </c>
      <c r="R293" s="40">
        <v>0</v>
      </c>
      <c r="S293" s="40">
        <v>8103870.8493999997</v>
      </c>
      <c r="T293" s="40">
        <f t="shared" si="72"/>
        <v>4051935.4246999999</v>
      </c>
      <c r="U293" s="40">
        <f t="shared" si="60"/>
        <v>4051935.4246999999</v>
      </c>
      <c r="V293" s="40">
        <v>99644289.260399997</v>
      </c>
      <c r="W293" s="45">
        <f t="shared" si="68"/>
        <v>373825252.99759996</v>
      </c>
    </row>
    <row r="294" spans="1:23" ht="24.9" customHeight="1">
      <c r="A294" s="151"/>
      <c r="B294" s="154"/>
      <c r="C294" s="36">
        <v>17</v>
      </c>
      <c r="D294" s="40" t="s">
        <v>702</v>
      </c>
      <c r="E294" s="40">
        <v>168421433.6929</v>
      </c>
      <c r="F294" s="40">
        <v>0</v>
      </c>
      <c r="G294" s="40">
        <v>5052643.0108000003</v>
      </c>
      <c r="H294" s="40">
        <v>0</v>
      </c>
      <c r="I294" s="40">
        <f t="shared" si="69"/>
        <v>5052643.0108000003</v>
      </c>
      <c r="J294" s="53">
        <v>61919289.472800002</v>
      </c>
      <c r="K294" s="45">
        <f t="shared" si="67"/>
        <v>235393366.17650002</v>
      </c>
      <c r="L294" s="44"/>
      <c r="M294" s="153"/>
      <c r="N294" s="46">
        <v>6</v>
      </c>
      <c r="O294" s="153"/>
      <c r="P294" s="40" t="s">
        <v>703</v>
      </c>
      <c r="Q294" s="40">
        <v>233592882.03420001</v>
      </c>
      <c r="R294" s="40">
        <v>0</v>
      </c>
      <c r="S294" s="40">
        <v>7007786.4610000001</v>
      </c>
      <c r="T294" s="40">
        <f t="shared" si="72"/>
        <v>3503893.2305000001</v>
      </c>
      <c r="U294" s="40">
        <f t="shared" si="60"/>
        <v>3503893.2305000001</v>
      </c>
      <c r="V294" s="40">
        <v>83352868.293400005</v>
      </c>
      <c r="W294" s="45">
        <f t="shared" si="68"/>
        <v>320449643.55809999</v>
      </c>
    </row>
    <row r="295" spans="1:23" ht="24.9" customHeight="1">
      <c r="A295" s="36"/>
      <c r="B295" s="146" t="s">
        <v>704</v>
      </c>
      <c r="C295" s="147"/>
      <c r="D295" s="41"/>
      <c r="E295" s="41">
        <f>SUM(E278:E294)</f>
        <v>3270772161.9714003</v>
      </c>
      <c r="F295" s="41">
        <f t="shared" ref="F295:H295" si="73">SUM(F278:F294)</f>
        <v>0</v>
      </c>
      <c r="G295" s="41">
        <f t="shared" si="73"/>
        <v>98123164.859100014</v>
      </c>
      <c r="H295" s="41">
        <f t="shared" si="73"/>
        <v>0</v>
      </c>
      <c r="I295" s="41">
        <f t="shared" si="69"/>
        <v>98123164.859100014</v>
      </c>
      <c r="J295" s="41">
        <f>SUM(J278:J294)</f>
        <v>1204285229.8168001</v>
      </c>
      <c r="K295" s="41">
        <f>SUM(K278:K294)</f>
        <v>4573180556.6473007</v>
      </c>
      <c r="L295" s="44"/>
      <c r="M295" s="153"/>
      <c r="N295" s="46">
        <v>7</v>
      </c>
      <c r="O295" s="153"/>
      <c r="P295" s="40" t="s">
        <v>705</v>
      </c>
      <c r="Q295" s="40">
        <v>205057993.17829999</v>
      </c>
      <c r="R295" s="40">
        <v>0</v>
      </c>
      <c r="S295" s="40">
        <v>6151739.7953000003</v>
      </c>
      <c r="T295" s="40">
        <f t="shared" si="72"/>
        <v>3075869.8976500002</v>
      </c>
      <c r="U295" s="40">
        <f t="shared" si="60"/>
        <v>3075869.8976500002</v>
      </c>
      <c r="V295" s="40">
        <v>64638147.630599998</v>
      </c>
      <c r="W295" s="45">
        <f t="shared" si="68"/>
        <v>272772010.70655</v>
      </c>
    </row>
    <row r="296" spans="1:23" ht="24.9" customHeight="1">
      <c r="A296" s="151">
        <v>15</v>
      </c>
      <c r="B296" s="152" t="s">
        <v>706</v>
      </c>
      <c r="C296" s="36">
        <v>1</v>
      </c>
      <c r="D296" s="40" t="s">
        <v>707</v>
      </c>
      <c r="E296" s="40">
        <v>268719363.36839998</v>
      </c>
      <c r="F296" s="40">
        <f t="shared" ref="F296:F306" si="74">-4907596.13</f>
        <v>-4907596.13</v>
      </c>
      <c r="G296" s="40">
        <v>8061580.9011000004</v>
      </c>
      <c r="H296" s="40">
        <v>0</v>
      </c>
      <c r="I296" s="40">
        <f t="shared" si="69"/>
        <v>8061580.9011000004</v>
      </c>
      <c r="J296" s="53">
        <v>87733791.496399999</v>
      </c>
      <c r="K296" s="45">
        <f t="shared" si="67"/>
        <v>359607139.63589996</v>
      </c>
      <c r="L296" s="44"/>
      <c r="M296" s="153"/>
      <c r="N296" s="46">
        <v>8</v>
      </c>
      <c r="O296" s="153"/>
      <c r="P296" s="40" t="s">
        <v>708</v>
      </c>
      <c r="Q296" s="40">
        <v>181099286.47479999</v>
      </c>
      <c r="R296" s="40">
        <v>0</v>
      </c>
      <c r="S296" s="40">
        <v>5432978.5942000002</v>
      </c>
      <c r="T296" s="40">
        <f t="shared" si="72"/>
        <v>2716489.2971000001</v>
      </c>
      <c r="U296" s="40">
        <f t="shared" si="60"/>
        <v>2716489.2971000001</v>
      </c>
      <c r="V296" s="40">
        <v>58727550.357799999</v>
      </c>
      <c r="W296" s="45">
        <f t="shared" si="68"/>
        <v>242543326.12970001</v>
      </c>
    </row>
    <row r="297" spans="1:23" ht="24.9" customHeight="1">
      <c r="A297" s="151"/>
      <c r="B297" s="153"/>
      <c r="C297" s="36">
        <v>2</v>
      </c>
      <c r="D297" s="40" t="s">
        <v>709</v>
      </c>
      <c r="E297" s="40">
        <v>195152733.61919999</v>
      </c>
      <c r="F297" s="40">
        <f t="shared" si="74"/>
        <v>-4907596.13</v>
      </c>
      <c r="G297" s="40">
        <v>5854582.0086000003</v>
      </c>
      <c r="H297" s="40">
        <v>0</v>
      </c>
      <c r="I297" s="40">
        <f t="shared" si="69"/>
        <v>5854582.0086000003</v>
      </c>
      <c r="J297" s="53">
        <v>71080882.365999997</v>
      </c>
      <c r="K297" s="45">
        <f t="shared" si="67"/>
        <v>267180601.86379999</v>
      </c>
      <c r="L297" s="44"/>
      <c r="M297" s="153"/>
      <c r="N297" s="46">
        <v>9</v>
      </c>
      <c r="O297" s="153"/>
      <c r="P297" s="40" t="s">
        <v>710</v>
      </c>
      <c r="Q297" s="40">
        <v>185749141.6557</v>
      </c>
      <c r="R297" s="40">
        <v>0</v>
      </c>
      <c r="S297" s="40">
        <v>5572474.2496999996</v>
      </c>
      <c r="T297" s="40">
        <f t="shared" si="72"/>
        <v>2786237.1248499998</v>
      </c>
      <c r="U297" s="40">
        <f t="shared" si="60"/>
        <v>2786237.1248499998</v>
      </c>
      <c r="V297" s="40">
        <v>61281756.612800002</v>
      </c>
      <c r="W297" s="45">
        <f t="shared" si="68"/>
        <v>249817135.39335001</v>
      </c>
    </row>
    <row r="298" spans="1:23" ht="24.9" customHeight="1">
      <c r="A298" s="151"/>
      <c r="B298" s="153"/>
      <c r="C298" s="36">
        <v>3</v>
      </c>
      <c r="D298" s="40" t="s">
        <v>711</v>
      </c>
      <c r="E298" s="40">
        <v>196416938.72569999</v>
      </c>
      <c r="F298" s="40">
        <f t="shared" si="74"/>
        <v>-4907596.13</v>
      </c>
      <c r="G298" s="40">
        <v>5892508.1617999999</v>
      </c>
      <c r="H298" s="40">
        <v>0</v>
      </c>
      <c r="I298" s="40">
        <f t="shared" si="69"/>
        <v>5892508.1617999999</v>
      </c>
      <c r="J298" s="53">
        <v>69698057.240700006</v>
      </c>
      <c r="K298" s="45">
        <f t="shared" si="67"/>
        <v>267099907.9982</v>
      </c>
      <c r="L298" s="44"/>
      <c r="M298" s="153"/>
      <c r="N298" s="46">
        <v>10</v>
      </c>
      <c r="O298" s="153"/>
      <c r="P298" s="40" t="s">
        <v>712</v>
      </c>
      <c r="Q298" s="40">
        <v>176209980.19710001</v>
      </c>
      <c r="R298" s="40">
        <v>0</v>
      </c>
      <c r="S298" s="40">
        <v>5286299.4058999997</v>
      </c>
      <c r="T298" s="40">
        <f t="shared" si="72"/>
        <v>2643149.7029499998</v>
      </c>
      <c r="U298" s="40">
        <f t="shared" ref="U298:U361" si="75">S298-T298</f>
        <v>2643149.7029499998</v>
      </c>
      <c r="V298" s="40">
        <v>56718234.349200003</v>
      </c>
      <c r="W298" s="45">
        <f t="shared" si="68"/>
        <v>235571364.24925002</v>
      </c>
    </row>
    <row r="299" spans="1:23" ht="24.9" customHeight="1">
      <c r="A299" s="151"/>
      <c r="B299" s="153"/>
      <c r="C299" s="36">
        <v>4</v>
      </c>
      <c r="D299" s="40" t="s">
        <v>713</v>
      </c>
      <c r="E299" s="40">
        <v>214022758.93290001</v>
      </c>
      <c r="F299" s="40">
        <f t="shared" si="74"/>
        <v>-4907596.13</v>
      </c>
      <c r="G299" s="40">
        <v>6420682.7680000002</v>
      </c>
      <c r="H299" s="40">
        <v>0</v>
      </c>
      <c r="I299" s="40">
        <f t="shared" si="69"/>
        <v>6420682.7680000002</v>
      </c>
      <c r="J299" s="53">
        <v>70368670.943900004</v>
      </c>
      <c r="K299" s="45">
        <f t="shared" si="67"/>
        <v>285904516.51480001</v>
      </c>
      <c r="L299" s="44"/>
      <c r="M299" s="153"/>
      <c r="N299" s="46">
        <v>11</v>
      </c>
      <c r="O299" s="153"/>
      <c r="P299" s="40" t="s">
        <v>714</v>
      </c>
      <c r="Q299" s="40">
        <v>243456940.7306</v>
      </c>
      <c r="R299" s="40">
        <v>0</v>
      </c>
      <c r="S299" s="40">
        <v>7303708.2219000002</v>
      </c>
      <c r="T299" s="40">
        <f t="shared" si="72"/>
        <v>3651854.1109500001</v>
      </c>
      <c r="U299" s="40">
        <f t="shared" si="75"/>
        <v>3651854.1109500001</v>
      </c>
      <c r="V299" s="40">
        <v>81786641.085099995</v>
      </c>
      <c r="W299" s="45">
        <f t="shared" si="68"/>
        <v>328895435.92664999</v>
      </c>
    </row>
    <row r="300" spans="1:23" ht="24.9" customHeight="1">
      <c r="A300" s="151"/>
      <c r="B300" s="153"/>
      <c r="C300" s="36">
        <v>5</v>
      </c>
      <c r="D300" s="40" t="s">
        <v>715</v>
      </c>
      <c r="E300" s="40">
        <v>208166423.76809999</v>
      </c>
      <c r="F300" s="40">
        <f t="shared" si="74"/>
        <v>-4907596.13</v>
      </c>
      <c r="G300" s="40">
        <v>6244992.7130000005</v>
      </c>
      <c r="H300" s="40">
        <v>0</v>
      </c>
      <c r="I300" s="40">
        <f t="shared" si="69"/>
        <v>6244992.7130000005</v>
      </c>
      <c r="J300" s="53">
        <v>74209083.980499998</v>
      </c>
      <c r="K300" s="45">
        <f t="shared" si="67"/>
        <v>283712904.33160001</v>
      </c>
      <c r="L300" s="44"/>
      <c r="M300" s="153"/>
      <c r="N300" s="46">
        <v>12</v>
      </c>
      <c r="O300" s="153"/>
      <c r="P300" s="40" t="s">
        <v>716</v>
      </c>
      <c r="Q300" s="40">
        <v>163907953.90849999</v>
      </c>
      <c r="R300" s="40">
        <v>0</v>
      </c>
      <c r="S300" s="40">
        <v>4917238.6173</v>
      </c>
      <c r="T300" s="40">
        <f t="shared" si="72"/>
        <v>2458619.30865</v>
      </c>
      <c r="U300" s="40">
        <f t="shared" si="75"/>
        <v>2458619.30865</v>
      </c>
      <c r="V300" s="40">
        <v>55536221.214699998</v>
      </c>
      <c r="W300" s="45">
        <f t="shared" si="68"/>
        <v>221902794.43185002</v>
      </c>
    </row>
    <row r="301" spans="1:23" ht="24.9" customHeight="1">
      <c r="A301" s="151"/>
      <c r="B301" s="153"/>
      <c r="C301" s="36">
        <v>6</v>
      </c>
      <c r="D301" s="40" t="s">
        <v>97</v>
      </c>
      <c r="E301" s="40">
        <v>226666792.30419999</v>
      </c>
      <c r="F301" s="40">
        <f t="shared" si="74"/>
        <v>-4907596.13</v>
      </c>
      <c r="G301" s="40">
        <v>6800003.7691000002</v>
      </c>
      <c r="H301" s="40">
        <v>0</v>
      </c>
      <c r="I301" s="40">
        <f t="shared" si="69"/>
        <v>6800003.7691000002</v>
      </c>
      <c r="J301" s="53">
        <v>78450323.598399997</v>
      </c>
      <c r="K301" s="45">
        <f t="shared" si="67"/>
        <v>307009523.54170001</v>
      </c>
      <c r="L301" s="44"/>
      <c r="M301" s="153"/>
      <c r="N301" s="46">
        <v>13</v>
      </c>
      <c r="O301" s="153"/>
      <c r="P301" s="40" t="s">
        <v>717</v>
      </c>
      <c r="Q301" s="40">
        <v>218820290.15400001</v>
      </c>
      <c r="R301" s="40">
        <v>0</v>
      </c>
      <c r="S301" s="40">
        <v>6564608.7045999998</v>
      </c>
      <c r="T301" s="40">
        <f t="shared" si="72"/>
        <v>3282304.3522999999</v>
      </c>
      <c r="U301" s="40">
        <f t="shared" si="75"/>
        <v>3282304.3522999999</v>
      </c>
      <c r="V301" s="40">
        <v>68065241.480299994</v>
      </c>
      <c r="W301" s="45">
        <f t="shared" si="68"/>
        <v>290167835.98660004</v>
      </c>
    </row>
    <row r="302" spans="1:23" ht="24.9" customHeight="1">
      <c r="A302" s="151"/>
      <c r="B302" s="153"/>
      <c r="C302" s="36">
        <v>7</v>
      </c>
      <c r="D302" s="40" t="s">
        <v>718</v>
      </c>
      <c r="E302" s="40">
        <v>177727710.81889999</v>
      </c>
      <c r="F302" s="40">
        <f t="shared" si="74"/>
        <v>-4907596.13</v>
      </c>
      <c r="G302" s="40">
        <v>5331831.3245999999</v>
      </c>
      <c r="H302" s="40">
        <v>0</v>
      </c>
      <c r="I302" s="40">
        <f t="shared" si="69"/>
        <v>5331831.3245999999</v>
      </c>
      <c r="J302" s="53">
        <v>62742200.995200001</v>
      </c>
      <c r="K302" s="45">
        <f t="shared" si="67"/>
        <v>240894147.00870001</v>
      </c>
      <c r="L302" s="44"/>
      <c r="M302" s="153"/>
      <c r="N302" s="46">
        <v>14</v>
      </c>
      <c r="O302" s="153"/>
      <c r="P302" s="40" t="s">
        <v>719</v>
      </c>
      <c r="Q302" s="40">
        <v>218503803.65130001</v>
      </c>
      <c r="R302" s="40">
        <v>0</v>
      </c>
      <c r="S302" s="40">
        <v>6555114.1095000003</v>
      </c>
      <c r="T302" s="40">
        <f t="shared" si="72"/>
        <v>3277557.0547500001</v>
      </c>
      <c r="U302" s="40">
        <f t="shared" si="75"/>
        <v>3277557.0547500001</v>
      </c>
      <c r="V302" s="40">
        <v>68762169.395500004</v>
      </c>
      <c r="W302" s="45">
        <f t="shared" si="68"/>
        <v>290543530.10154998</v>
      </c>
    </row>
    <row r="303" spans="1:23" ht="24.9" customHeight="1">
      <c r="A303" s="151"/>
      <c r="B303" s="153"/>
      <c r="C303" s="36">
        <v>8</v>
      </c>
      <c r="D303" s="40" t="s">
        <v>720</v>
      </c>
      <c r="E303" s="40">
        <v>190645707.5596</v>
      </c>
      <c r="F303" s="40">
        <f t="shared" si="74"/>
        <v>-4907596.13</v>
      </c>
      <c r="G303" s="40">
        <v>5719371.2268000003</v>
      </c>
      <c r="H303" s="40">
        <v>0</v>
      </c>
      <c r="I303" s="40">
        <f t="shared" si="69"/>
        <v>5719371.2268000003</v>
      </c>
      <c r="J303" s="53">
        <v>68788223.429199994</v>
      </c>
      <c r="K303" s="45">
        <f t="shared" si="67"/>
        <v>260245706.08559999</v>
      </c>
      <c r="L303" s="44"/>
      <c r="M303" s="153"/>
      <c r="N303" s="46">
        <v>15</v>
      </c>
      <c r="O303" s="153"/>
      <c r="P303" s="40" t="s">
        <v>721</v>
      </c>
      <c r="Q303" s="40">
        <v>172678370.7193</v>
      </c>
      <c r="R303" s="40">
        <v>0</v>
      </c>
      <c r="S303" s="40">
        <v>5180351.1216000002</v>
      </c>
      <c r="T303" s="40">
        <f t="shared" si="72"/>
        <v>2590175.5608000001</v>
      </c>
      <c r="U303" s="40">
        <f t="shared" si="75"/>
        <v>2590175.5608000001</v>
      </c>
      <c r="V303" s="40">
        <v>60074226.6668</v>
      </c>
      <c r="W303" s="45">
        <f t="shared" si="68"/>
        <v>235342772.94690001</v>
      </c>
    </row>
    <row r="304" spans="1:23" ht="24.9" customHeight="1">
      <c r="A304" s="151"/>
      <c r="B304" s="153"/>
      <c r="C304" s="36">
        <v>9</v>
      </c>
      <c r="D304" s="40" t="s">
        <v>722</v>
      </c>
      <c r="E304" s="40">
        <v>173808360.85030001</v>
      </c>
      <c r="F304" s="40">
        <f t="shared" si="74"/>
        <v>-4907596.13</v>
      </c>
      <c r="G304" s="40">
        <v>5214250.8255000003</v>
      </c>
      <c r="H304" s="40">
        <v>0</v>
      </c>
      <c r="I304" s="40">
        <f t="shared" si="69"/>
        <v>5214250.8255000003</v>
      </c>
      <c r="J304" s="53">
        <v>61197902.296899997</v>
      </c>
      <c r="K304" s="45">
        <f t="shared" si="67"/>
        <v>235312917.84270003</v>
      </c>
      <c r="L304" s="44"/>
      <c r="M304" s="153"/>
      <c r="N304" s="46">
        <v>16</v>
      </c>
      <c r="O304" s="153"/>
      <c r="P304" s="40" t="s">
        <v>723</v>
      </c>
      <c r="Q304" s="40">
        <v>220023607.4409</v>
      </c>
      <c r="R304" s="40">
        <v>0</v>
      </c>
      <c r="S304" s="40">
        <v>6600708.2231999999</v>
      </c>
      <c r="T304" s="40">
        <f t="shared" si="72"/>
        <v>3300354.1115999999</v>
      </c>
      <c r="U304" s="40">
        <f t="shared" si="75"/>
        <v>3300354.1115999999</v>
      </c>
      <c r="V304" s="40">
        <v>70235765.261800006</v>
      </c>
      <c r="W304" s="45">
        <f t="shared" si="68"/>
        <v>293559726.8143</v>
      </c>
    </row>
    <row r="305" spans="1:23" ht="24.9" customHeight="1">
      <c r="A305" s="151"/>
      <c r="B305" s="153"/>
      <c r="C305" s="36">
        <v>10</v>
      </c>
      <c r="D305" s="40" t="s">
        <v>724</v>
      </c>
      <c r="E305" s="40">
        <v>164835227.2189</v>
      </c>
      <c r="F305" s="40">
        <f t="shared" si="74"/>
        <v>-4907596.13</v>
      </c>
      <c r="G305" s="40">
        <v>4945056.8165999996</v>
      </c>
      <c r="H305" s="40">
        <v>0</v>
      </c>
      <c r="I305" s="40">
        <f t="shared" si="69"/>
        <v>4945056.8165999996</v>
      </c>
      <c r="J305" s="53">
        <v>62970124.598300003</v>
      </c>
      <c r="K305" s="45">
        <f t="shared" si="67"/>
        <v>227842812.5038</v>
      </c>
      <c r="L305" s="44"/>
      <c r="M305" s="154"/>
      <c r="N305" s="46">
        <v>17</v>
      </c>
      <c r="O305" s="154"/>
      <c r="P305" s="40" t="s">
        <v>725</v>
      </c>
      <c r="Q305" s="40">
        <v>233776062.35550001</v>
      </c>
      <c r="R305" s="40">
        <v>0</v>
      </c>
      <c r="S305" s="40">
        <v>7013281.8706999999</v>
      </c>
      <c r="T305" s="40">
        <f t="shared" si="72"/>
        <v>3506640.9353499999</v>
      </c>
      <c r="U305" s="40">
        <f t="shared" si="75"/>
        <v>3506640.9353499999</v>
      </c>
      <c r="V305" s="40">
        <v>64082093.779100001</v>
      </c>
      <c r="W305" s="45">
        <f t="shared" si="68"/>
        <v>301364797.06994998</v>
      </c>
    </row>
    <row r="306" spans="1:23" ht="24.9" customHeight="1">
      <c r="A306" s="151"/>
      <c r="B306" s="154"/>
      <c r="C306" s="36">
        <v>11</v>
      </c>
      <c r="D306" s="40" t="s">
        <v>726</v>
      </c>
      <c r="E306" s="40">
        <v>224973352.61059999</v>
      </c>
      <c r="F306" s="40">
        <f t="shared" si="74"/>
        <v>-4907596.13</v>
      </c>
      <c r="G306" s="40">
        <v>6749200.5783000002</v>
      </c>
      <c r="H306" s="40">
        <v>0</v>
      </c>
      <c r="I306" s="40">
        <f t="shared" si="69"/>
        <v>6749200.5783000002</v>
      </c>
      <c r="J306" s="53">
        <v>76755582.032100007</v>
      </c>
      <c r="K306" s="45">
        <f t="shared" si="67"/>
        <v>303570539.09100002</v>
      </c>
      <c r="L306" s="44"/>
      <c r="M306" s="36"/>
      <c r="N306" s="147" t="s">
        <v>727</v>
      </c>
      <c r="O306" s="148"/>
      <c r="P306" s="41"/>
      <c r="Q306" s="41">
        <f t="shared" ref="Q306:S306" si="76">SUM(Q289:Q305)</f>
        <v>3491787083.0325994</v>
      </c>
      <c r="R306" s="41">
        <f t="shared" si="76"/>
        <v>0</v>
      </c>
      <c r="S306" s="41">
        <f t="shared" si="76"/>
        <v>104753612.49080002</v>
      </c>
      <c r="T306" s="41">
        <f t="shared" ref="T306:W306" si="77">SUM(T289:T305)</f>
        <v>52376806.245400012</v>
      </c>
      <c r="U306" s="41">
        <f t="shared" si="75"/>
        <v>52376806.245400012</v>
      </c>
      <c r="V306" s="41">
        <f t="shared" si="77"/>
        <v>1146486004.6615999</v>
      </c>
      <c r="W306" s="41">
        <f t="shared" si="77"/>
        <v>4690649893.9396</v>
      </c>
    </row>
    <row r="307" spans="1:23" ht="24.9" customHeight="1">
      <c r="A307" s="36"/>
      <c r="B307" s="146" t="s">
        <v>728</v>
      </c>
      <c r="C307" s="147"/>
      <c r="D307" s="41"/>
      <c r="E307" s="41">
        <f>SUM(E296:E306)</f>
        <v>2241135369.7767997</v>
      </c>
      <c r="F307" s="41">
        <f t="shared" ref="F307:H307" si="78">SUM(F296:F306)</f>
        <v>-53983557.430000007</v>
      </c>
      <c r="G307" s="41">
        <f t="shared" si="78"/>
        <v>67234061.093400016</v>
      </c>
      <c r="H307" s="41">
        <f t="shared" si="78"/>
        <v>0</v>
      </c>
      <c r="I307" s="41">
        <f t="shared" si="69"/>
        <v>67234061.093400016</v>
      </c>
      <c r="J307" s="41">
        <f>SUM(J296:J306)</f>
        <v>783994842.97759986</v>
      </c>
      <c r="K307" s="41">
        <f>SUM(K296:K306)</f>
        <v>3038380716.4177999</v>
      </c>
      <c r="L307" s="44"/>
      <c r="M307" s="152">
        <v>32</v>
      </c>
      <c r="N307" s="46">
        <v>1</v>
      </c>
      <c r="O307" s="152" t="s">
        <v>114</v>
      </c>
      <c r="P307" s="40" t="s">
        <v>729</v>
      </c>
      <c r="Q307" s="40">
        <v>155544439.69980001</v>
      </c>
      <c r="R307" s="40">
        <v>0</v>
      </c>
      <c r="S307" s="40">
        <v>4666333.1909999996</v>
      </c>
      <c r="T307" s="40">
        <f t="shared" si="72"/>
        <v>2333166.5954999998</v>
      </c>
      <c r="U307" s="40">
        <f t="shared" si="75"/>
        <v>2333166.5954999998</v>
      </c>
      <c r="V307" s="40">
        <v>138258303.68650001</v>
      </c>
      <c r="W307" s="45">
        <f t="shared" si="68"/>
        <v>296135909.98180002</v>
      </c>
    </row>
    <row r="308" spans="1:23" ht="24.9" customHeight="1">
      <c r="A308" s="151">
        <v>16</v>
      </c>
      <c r="B308" s="152" t="s">
        <v>730</v>
      </c>
      <c r="C308" s="36">
        <v>1</v>
      </c>
      <c r="D308" s="40" t="s">
        <v>731</v>
      </c>
      <c r="E308" s="40">
        <v>175860809.24759999</v>
      </c>
      <c r="F308" s="40">
        <v>0</v>
      </c>
      <c r="G308" s="40">
        <v>5275824.2774</v>
      </c>
      <c r="H308" s="40">
        <f>G308/2</f>
        <v>2637912.1387</v>
      </c>
      <c r="I308" s="40">
        <f t="shared" si="69"/>
        <v>2637912.1387</v>
      </c>
      <c r="J308" s="53">
        <v>66800703.075199999</v>
      </c>
      <c r="K308" s="45">
        <f t="shared" si="67"/>
        <v>245299424.46149996</v>
      </c>
      <c r="L308" s="44"/>
      <c r="M308" s="153"/>
      <c r="N308" s="46">
        <v>2</v>
      </c>
      <c r="O308" s="153"/>
      <c r="P308" s="40" t="s">
        <v>732</v>
      </c>
      <c r="Q308" s="40">
        <v>194340697.43000001</v>
      </c>
      <c r="R308" s="40">
        <v>0</v>
      </c>
      <c r="S308" s="40">
        <v>5830220.9228999997</v>
      </c>
      <c r="T308" s="40">
        <f t="shared" si="72"/>
        <v>2915110.4614499998</v>
      </c>
      <c r="U308" s="40">
        <f t="shared" si="75"/>
        <v>2915110.4614499998</v>
      </c>
      <c r="V308" s="40">
        <v>149246214.85519999</v>
      </c>
      <c r="W308" s="45">
        <f t="shared" si="68"/>
        <v>346502022.74664998</v>
      </c>
    </row>
    <row r="309" spans="1:23" ht="24.9" customHeight="1">
      <c r="A309" s="151"/>
      <c r="B309" s="153"/>
      <c r="C309" s="36">
        <v>2</v>
      </c>
      <c r="D309" s="40" t="s">
        <v>733</v>
      </c>
      <c r="E309" s="40">
        <v>165493886.0108</v>
      </c>
      <c r="F309" s="40">
        <v>0</v>
      </c>
      <c r="G309" s="40">
        <v>4964816.5802999996</v>
      </c>
      <c r="H309" s="40">
        <f t="shared" ref="H309:H335" si="79">G309/2</f>
        <v>2482408.2901499998</v>
      </c>
      <c r="I309" s="40">
        <f t="shared" si="69"/>
        <v>2482408.2901499998</v>
      </c>
      <c r="J309" s="53">
        <v>63511426.587800004</v>
      </c>
      <c r="K309" s="45">
        <f t="shared" si="67"/>
        <v>231487720.88875002</v>
      </c>
      <c r="L309" s="44"/>
      <c r="M309" s="153"/>
      <c r="N309" s="46">
        <v>3</v>
      </c>
      <c r="O309" s="153"/>
      <c r="P309" s="40" t="s">
        <v>734</v>
      </c>
      <c r="Q309" s="40">
        <v>179028546.7692</v>
      </c>
      <c r="R309" s="40">
        <v>0</v>
      </c>
      <c r="S309" s="40">
        <v>5370856.4030999998</v>
      </c>
      <c r="T309" s="40">
        <f t="shared" si="72"/>
        <v>2685428.2015499999</v>
      </c>
      <c r="U309" s="40">
        <f t="shared" si="75"/>
        <v>2685428.2015499999</v>
      </c>
      <c r="V309" s="40">
        <v>136830824.141</v>
      </c>
      <c r="W309" s="45">
        <f t="shared" si="68"/>
        <v>318544799.11175001</v>
      </c>
    </row>
    <row r="310" spans="1:23" ht="24.9" customHeight="1">
      <c r="A310" s="151"/>
      <c r="B310" s="153"/>
      <c r="C310" s="36">
        <v>3</v>
      </c>
      <c r="D310" s="40" t="s">
        <v>735</v>
      </c>
      <c r="E310" s="40">
        <v>152037508.2649</v>
      </c>
      <c r="F310" s="40">
        <v>0</v>
      </c>
      <c r="G310" s="40">
        <v>4561125.2478999998</v>
      </c>
      <c r="H310" s="40">
        <f t="shared" si="79"/>
        <v>2280562.6239499999</v>
      </c>
      <c r="I310" s="40">
        <f t="shared" si="69"/>
        <v>2280562.6239499999</v>
      </c>
      <c r="J310" s="53">
        <v>58199278.285599999</v>
      </c>
      <c r="K310" s="45">
        <f t="shared" si="67"/>
        <v>212517349.17445001</v>
      </c>
      <c r="L310" s="44"/>
      <c r="M310" s="153"/>
      <c r="N310" s="46">
        <v>4</v>
      </c>
      <c r="O310" s="153"/>
      <c r="P310" s="40" t="s">
        <v>736</v>
      </c>
      <c r="Q310" s="40">
        <v>191109386.6372</v>
      </c>
      <c r="R310" s="40">
        <v>0</v>
      </c>
      <c r="S310" s="40">
        <v>5733281.5991000002</v>
      </c>
      <c r="T310" s="40">
        <f t="shared" si="72"/>
        <v>2866640.7995500001</v>
      </c>
      <c r="U310" s="40">
        <f t="shared" si="75"/>
        <v>2866640.7995500001</v>
      </c>
      <c r="V310" s="40">
        <v>144140726.14649999</v>
      </c>
      <c r="W310" s="45">
        <f t="shared" si="68"/>
        <v>338116753.58324999</v>
      </c>
    </row>
    <row r="311" spans="1:23" ht="24.9" customHeight="1">
      <c r="A311" s="151"/>
      <c r="B311" s="153"/>
      <c r="C311" s="36">
        <v>4</v>
      </c>
      <c r="D311" s="40" t="s">
        <v>737</v>
      </c>
      <c r="E311" s="40">
        <v>161703618.41370001</v>
      </c>
      <c r="F311" s="40">
        <v>0</v>
      </c>
      <c r="G311" s="40">
        <v>4851108.5524000004</v>
      </c>
      <c r="H311" s="40">
        <f t="shared" si="79"/>
        <v>2425554.2762000002</v>
      </c>
      <c r="I311" s="40">
        <f t="shared" si="69"/>
        <v>2425554.2762000002</v>
      </c>
      <c r="J311" s="53">
        <v>62805860.168700002</v>
      </c>
      <c r="K311" s="45">
        <f t="shared" si="67"/>
        <v>226935032.85860002</v>
      </c>
      <c r="L311" s="44"/>
      <c r="M311" s="153"/>
      <c r="N311" s="46">
        <v>5</v>
      </c>
      <c r="O311" s="153"/>
      <c r="P311" s="40" t="s">
        <v>738</v>
      </c>
      <c r="Q311" s="40">
        <v>177397322.86750001</v>
      </c>
      <c r="R311" s="40">
        <v>0</v>
      </c>
      <c r="S311" s="40">
        <v>5321919.6859999998</v>
      </c>
      <c r="T311" s="40">
        <f t="shared" si="72"/>
        <v>2660959.8429999999</v>
      </c>
      <c r="U311" s="40">
        <f t="shared" si="75"/>
        <v>2660959.8429999999</v>
      </c>
      <c r="V311" s="40">
        <v>145348920.59279999</v>
      </c>
      <c r="W311" s="45">
        <f t="shared" si="68"/>
        <v>325407203.30330002</v>
      </c>
    </row>
    <row r="312" spans="1:23" ht="24.9" customHeight="1">
      <c r="A312" s="151"/>
      <c r="B312" s="153"/>
      <c r="C312" s="36">
        <v>5</v>
      </c>
      <c r="D312" s="40" t="s">
        <v>739</v>
      </c>
      <c r="E312" s="40">
        <v>173395810.25580001</v>
      </c>
      <c r="F312" s="40">
        <v>0</v>
      </c>
      <c r="G312" s="40">
        <v>5201874.3076999998</v>
      </c>
      <c r="H312" s="40">
        <f t="shared" si="79"/>
        <v>2600937.1538499999</v>
      </c>
      <c r="I312" s="40">
        <f t="shared" si="69"/>
        <v>2600937.1538499999</v>
      </c>
      <c r="J312" s="53">
        <v>61850707.436800003</v>
      </c>
      <c r="K312" s="45">
        <f t="shared" si="67"/>
        <v>237847454.84645003</v>
      </c>
      <c r="L312" s="44"/>
      <c r="M312" s="153"/>
      <c r="N312" s="46">
        <v>6</v>
      </c>
      <c r="O312" s="153"/>
      <c r="P312" s="40" t="s">
        <v>740</v>
      </c>
      <c r="Q312" s="40">
        <v>177367680.07159999</v>
      </c>
      <c r="R312" s="40">
        <v>1E-4</v>
      </c>
      <c r="S312" s="40">
        <v>5321030.4022000004</v>
      </c>
      <c r="T312" s="40">
        <f t="shared" si="72"/>
        <v>2660515.2011000002</v>
      </c>
      <c r="U312" s="40">
        <f t="shared" si="75"/>
        <v>2660515.2011000002</v>
      </c>
      <c r="V312" s="40">
        <v>144718708.5079</v>
      </c>
      <c r="W312" s="45">
        <f t="shared" si="68"/>
        <v>324746903.78069997</v>
      </c>
    </row>
    <row r="313" spans="1:23" ht="24.9" customHeight="1">
      <c r="A313" s="151"/>
      <c r="B313" s="153"/>
      <c r="C313" s="36">
        <v>6</v>
      </c>
      <c r="D313" s="40" t="s">
        <v>741</v>
      </c>
      <c r="E313" s="40">
        <v>173976421.4842</v>
      </c>
      <c r="F313" s="40">
        <v>0</v>
      </c>
      <c r="G313" s="40">
        <v>5219292.6445000004</v>
      </c>
      <c r="H313" s="40">
        <f t="shared" si="79"/>
        <v>2609646.3222500002</v>
      </c>
      <c r="I313" s="40">
        <f t="shared" si="69"/>
        <v>2609646.3222500002</v>
      </c>
      <c r="J313" s="53">
        <v>62046469.225299999</v>
      </c>
      <c r="K313" s="45">
        <f t="shared" si="67"/>
        <v>238632537.03174996</v>
      </c>
      <c r="L313" s="44"/>
      <c r="M313" s="153"/>
      <c r="N313" s="46">
        <v>7</v>
      </c>
      <c r="O313" s="153"/>
      <c r="P313" s="40" t="s">
        <v>742</v>
      </c>
      <c r="Q313" s="40">
        <v>192225979.7744</v>
      </c>
      <c r="R313" s="40">
        <v>0</v>
      </c>
      <c r="S313" s="40">
        <v>5766779.3931999998</v>
      </c>
      <c r="T313" s="40">
        <f t="shared" si="72"/>
        <v>2883389.6965999999</v>
      </c>
      <c r="U313" s="40">
        <f t="shared" si="75"/>
        <v>2883389.6965999999</v>
      </c>
      <c r="V313" s="40">
        <v>149292464.07609999</v>
      </c>
      <c r="W313" s="45">
        <f t="shared" si="68"/>
        <v>344401833.54710001</v>
      </c>
    </row>
    <row r="314" spans="1:23" ht="24.9" customHeight="1">
      <c r="A314" s="151"/>
      <c r="B314" s="153"/>
      <c r="C314" s="36">
        <v>7</v>
      </c>
      <c r="D314" s="40" t="s">
        <v>743</v>
      </c>
      <c r="E314" s="40">
        <v>155718073.11019999</v>
      </c>
      <c r="F314" s="40">
        <v>0</v>
      </c>
      <c r="G314" s="40">
        <v>4671542.1933000004</v>
      </c>
      <c r="H314" s="40">
        <f t="shared" si="79"/>
        <v>2335771.0966500002</v>
      </c>
      <c r="I314" s="40">
        <f t="shared" si="69"/>
        <v>2335771.0966500002</v>
      </c>
      <c r="J314" s="53">
        <v>56845425.373400003</v>
      </c>
      <c r="K314" s="45">
        <f t="shared" si="67"/>
        <v>214899269.58024999</v>
      </c>
      <c r="L314" s="44"/>
      <c r="M314" s="153"/>
      <c r="N314" s="46">
        <v>8</v>
      </c>
      <c r="O314" s="153"/>
      <c r="P314" s="40" t="s">
        <v>744</v>
      </c>
      <c r="Q314" s="40">
        <v>186230612.6778</v>
      </c>
      <c r="R314" s="40">
        <v>0</v>
      </c>
      <c r="S314" s="40">
        <v>5586918.3803000003</v>
      </c>
      <c r="T314" s="40">
        <f t="shared" si="72"/>
        <v>2793459.1901500002</v>
      </c>
      <c r="U314" s="40">
        <f t="shared" si="75"/>
        <v>2793459.1901500002</v>
      </c>
      <c r="V314" s="40">
        <v>141466112.43700001</v>
      </c>
      <c r="W314" s="45">
        <f t="shared" si="68"/>
        <v>330490184.30495</v>
      </c>
    </row>
    <row r="315" spans="1:23" ht="24.9" customHeight="1">
      <c r="A315" s="151"/>
      <c r="B315" s="153"/>
      <c r="C315" s="36">
        <v>8</v>
      </c>
      <c r="D315" s="40" t="s">
        <v>745</v>
      </c>
      <c r="E315" s="40">
        <v>164937690.12090001</v>
      </c>
      <c r="F315" s="40">
        <v>0</v>
      </c>
      <c r="G315" s="40">
        <v>4948130.7035999997</v>
      </c>
      <c r="H315" s="40">
        <f t="shared" si="79"/>
        <v>2474065.3517999998</v>
      </c>
      <c r="I315" s="40">
        <f t="shared" si="69"/>
        <v>2474065.3517999998</v>
      </c>
      <c r="J315" s="53">
        <v>60642645.890500002</v>
      </c>
      <c r="K315" s="45">
        <f t="shared" si="67"/>
        <v>228054401.36320001</v>
      </c>
      <c r="L315" s="44"/>
      <c r="M315" s="153"/>
      <c r="N315" s="46">
        <v>9</v>
      </c>
      <c r="O315" s="153"/>
      <c r="P315" s="40" t="s">
        <v>746</v>
      </c>
      <c r="Q315" s="40">
        <v>177631734.52000001</v>
      </c>
      <c r="R315" s="40">
        <v>0</v>
      </c>
      <c r="S315" s="40">
        <v>5328952.0356000001</v>
      </c>
      <c r="T315" s="40">
        <f t="shared" si="72"/>
        <v>2664476.0178</v>
      </c>
      <c r="U315" s="40">
        <f t="shared" si="75"/>
        <v>2664476.0178</v>
      </c>
      <c r="V315" s="40">
        <v>142930272.39910001</v>
      </c>
      <c r="W315" s="45">
        <f t="shared" si="68"/>
        <v>323226482.93690002</v>
      </c>
    </row>
    <row r="316" spans="1:23" ht="24.9" customHeight="1">
      <c r="A316" s="151"/>
      <c r="B316" s="153"/>
      <c r="C316" s="36">
        <v>9</v>
      </c>
      <c r="D316" s="40" t="s">
        <v>747</v>
      </c>
      <c r="E316" s="40">
        <v>185568241.09999999</v>
      </c>
      <c r="F316" s="40">
        <v>0</v>
      </c>
      <c r="G316" s="40">
        <v>5567047.233</v>
      </c>
      <c r="H316" s="40">
        <f t="shared" si="79"/>
        <v>2783523.6165</v>
      </c>
      <c r="I316" s="40">
        <f t="shared" si="69"/>
        <v>2783523.6165</v>
      </c>
      <c r="J316" s="53">
        <v>67210566.860599995</v>
      </c>
      <c r="K316" s="45">
        <f t="shared" si="67"/>
        <v>255562331.57710001</v>
      </c>
      <c r="L316" s="44"/>
      <c r="M316" s="153"/>
      <c r="N316" s="46">
        <v>10</v>
      </c>
      <c r="O316" s="153"/>
      <c r="P316" s="40" t="s">
        <v>748</v>
      </c>
      <c r="Q316" s="40">
        <v>208301797.99669999</v>
      </c>
      <c r="R316" s="40">
        <v>0</v>
      </c>
      <c r="S316" s="40">
        <v>6249053.9398999996</v>
      </c>
      <c r="T316" s="40">
        <f t="shared" si="72"/>
        <v>3124526.9699499998</v>
      </c>
      <c r="U316" s="40">
        <f t="shared" si="75"/>
        <v>3124526.9699499998</v>
      </c>
      <c r="V316" s="40">
        <v>149250068.9569</v>
      </c>
      <c r="W316" s="45">
        <f t="shared" si="68"/>
        <v>360676393.92355001</v>
      </c>
    </row>
    <row r="317" spans="1:23" ht="24.9" customHeight="1">
      <c r="A317" s="151"/>
      <c r="B317" s="153"/>
      <c r="C317" s="36">
        <v>10</v>
      </c>
      <c r="D317" s="40" t="s">
        <v>749</v>
      </c>
      <c r="E317" s="40">
        <v>164016353.73109999</v>
      </c>
      <c r="F317" s="40">
        <v>0</v>
      </c>
      <c r="G317" s="40">
        <v>4920490.6118999999</v>
      </c>
      <c r="H317" s="40">
        <f t="shared" si="79"/>
        <v>2460245.30595</v>
      </c>
      <c r="I317" s="40">
        <f t="shared" si="69"/>
        <v>2460245.30595</v>
      </c>
      <c r="J317" s="53">
        <v>62656347.601099998</v>
      </c>
      <c r="K317" s="45">
        <f t="shared" si="67"/>
        <v>229132946.63815001</v>
      </c>
      <c r="L317" s="44"/>
      <c r="M317" s="153"/>
      <c r="N317" s="46">
        <v>11</v>
      </c>
      <c r="O317" s="153"/>
      <c r="P317" s="40" t="s">
        <v>750</v>
      </c>
      <c r="Q317" s="40">
        <v>185513641.97400001</v>
      </c>
      <c r="R317" s="40">
        <v>0</v>
      </c>
      <c r="S317" s="40">
        <v>5565409.2592000002</v>
      </c>
      <c r="T317" s="40">
        <f t="shared" si="72"/>
        <v>2782704.6296000001</v>
      </c>
      <c r="U317" s="40">
        <f t="shared" si="75"/>
        <v>2782704.6296000001</v>
      </c>
      <c r="V317" s="40">
        <v>146508872.31740001</v>
      </c>
      <c r="W317" s="45">
        <f t="shared" si="68"/>
        <v>334805218.921</v>
      </c>
    </row>
    <row r="318" spans="1:23" ht="24.9" customHeight="1">
      <c r="A318" s="151"/>
      <c r="B318" s="153"/>
      <c r="C318" s="36">
        <v>11</v>
      </c>
      <c r="D318" s="40" t="s">
        <v>751</v>
      </c>
      <c r="E318" s="40">
        <v>202307288.64250001</v>
      </c>
      <c r="F318" s="40">
        <v>0</v>
      </c>
      <c r="G318" s="40">
        <v>6069218.6593000004</v>
      </c>
      <c r="H318" s="40">
        <f t="shared" si="79"/>
        <v>3034609.3296500002</v>
      </c>
      <c r="I318" s="40">
        <f t="shared" si="69"/>
        <v>3034609.3296500002</v>
      </c>
      <c r="J318" s="53">
        <v>72369614.293500006</v>
      </c>
      <c r="K318" s="45">
        <f t="shared" si="67"/>
        <v>277711512.26565003</v>
      </c>
      <c r="L318" s="44"/>
      <c r="M318" s="153"/>
      <c r="N318" s="46">
        <v>12</v>
      </c>
      <c r="O318" s="153"/>
      <c r="P318" s="40" t="s">
        <v>752</v>
      </c>
      <c r="Q318" s="40">
        <v>177552469.5916</v>
      </c>
      <c r="R318" s="40">
        <v>0</v>
      </c>
      <c r="S318" s="40">
        <v>5326574.0877</v>
      </c>
      <c r="T318" s="40">
        <f t="shared" si="72"/>
        <v>2663287.04385</v>
      </c>
      <c r="U318" s="40">
        <f t="shared" si="75"/>
        <v>2663287.04385</v>
      </c>
      <c r="V318" s="40">
        <v>141312214.1674</v>
      </c>
      <c r="W318" s="45">
        <f t="shared" si="68"/>
        <v>321527970.80285001</v>
      </c>
    </row>
    <row r="319" spans="1:23" ht="24.9" customHeight="1">
      <c r="A319" s="151"/>
      <c r="B319" s="153"/>
      <c r="C319" s="36">
        <v>12</v>
      </c>
      <c r="D319" s="40" t="s">
        <v>753</v>
      </c>
      <c r="E319" s="40">
        <v>171818646.17179999</v>
      </c>
      <c r="F319" s="40">
        <v>0</v>
      </c>
      <c r="G319" s="40">
        <v>5154559.3852000004</v>
      </c>
      <c r="H319" s="40">
        <f t="shared" si="79"/>
        <v>2577279.6926000002</v>
      </c>
      <c r="I319" s="40">
        <f t="shared" si="69"/>
        <v>2577279.6926000002</v>
      </c>
      <c r="J319" s="53">
        <v>62053512.928499997</v>
      </c>
      <c r="K319" s="45">
        <f t="shared" si="67"/>
        <v>236449438.79289997</v>
      </c>
      <c r="L319" s="44"/>
      <c r="M319" s="153"/>
      <c r="N319" s="46">
        <v>13</v>
      </c>
      <c r="O319" s="153"/>
      <c r="P319" s="40" t="s">
        <v>754</v>
      </c>
      <c r="Q319" s="40">
        <v>210785642.4736</v>
      </c>
      <c r="R319" s="40">
        <v>0</v>
      </c>
      <c r="S319" s="40">
        <v>6323569.2741999999</v>
      </c>
      <c r="T319" s="40">
        <f t="shared" si="72"/>
        <v>3161784.6370999999</v>
      </c>
      <c r="U319" s="40">
        <f t="shared" si="75"/>
        <v>3161784.6370999999</v>
      </c>
      <c r="V319" s="40">
        <v>155199074.34709999</v>
      </c>
      <c r="W319" s="45">
        <f t="shared" si="68"/>
        <v>369146501.45779997</v>
      </c>
    </row>
    <row r="320" spans="1:23" ht="24.9" customHeight="1">
      <c r="A320" s="151"/>
      <c r="B320" s="153"/>
      <c r="C320" s="36">
        <v>13</v>
      </c>
      <c r="D320" s="40" t="s">
        <v>755</v>
      </c>
      <c r="E320" s="40">
        <v>155216516.31999999</v>
      </c>
      <c r="F320" s="40">
        <v>0</v>
      </c>
      <c r="G320" s="40">
        <v>4656495.4896</v>
      </c>
      <c r="H320" s="40">
        <f t="shared" si="79"/>
        <v>2328247.7448</v>
      </c>
      <c r="I320" s="40">
        <f t="shared" si="69"/>
        <v>2328247.7448</v>
      </c>
      <c r="J320" s="53">
        <v>60083668.237800002</v>
      </c>
      <c r="K320" s="45">
        <f t="shared" si="67"/>
        <v>217628432.3026</v>
      </c>
      <c r="L320" s="44"/>
      <c r="M320" s="153"/>
      <c r="N320" s="46">
        <v>14</v>
      </c>
      <c r="O320" s="153"/>
      <c r="P320" s="40" t="s">
        <v>756</v>
      </c>
      <c r="Q320" s="40">
        <v>258129880.56479999</v>
      </c>
      <c r="R320" s="40">
        <v>0</v>
      </c>
      <c r="S320" s="40">
        <v>7743896.4168999996</v>
      </c>
      <c r="T320" s="40">
        <f t="shared" si="72"/>
        <v>3871948.2084499998</v>
      </c>
      <c r="U320" s="40">
        <f t="shared" si="75"/>
        <v>3871948.2084499998</v>
      </c>
      <c r="V320" s="40">
        <v>177868103.398</v>
      </c>
      <c r="W320" s="45">
        <f t="shared" si="68"/>
        <v>439869932.17124999</v>
      </c>
    </row>
    <row r="321" spans="1:23" ht="24.9" customHeight="1">
      <c r="A321" s="151"/>
      <c r="B321" s="153"/>
      <c r="C321" s="36">
        <v>14</v>
      </c>
      <c r="D321" s="40" t="s">
        <v>757</v>
      </c>
      <c r="E321" s="40">
        <v>151050952.4102</v>
      </c>
      <c r="F321" s="40">
        <v>0</v>
      </c>
      <c r="G321" s="40">
        <v>4531528.5723000001</v>
      </c>
      <c r="H321" s="40">
        <f t="shared" si="79"/>
        <v>2265764.2861500001</v>
      </c>
      <c r="I321" s="40">
        <f t="shared" si="69"/>
        <v>2265764.2861500001</v>
      </c>
      <c r="J321" s="53">
        <v>57872477.037900001</v>
      </c>
      <c r="K321" s="45">
        <f t="shared" si="67"/>
        <v>211189193.73424998</v>
      </c>
      <c r="L321" s="44"/>
      <c r="M321" s="153"/>
      <c r="N321" s="46">
        <v>15</v>
      </c>
      <c r="O321" s="153"/>
      <c r="P321" s="40" t="s">
        <v>758</v>
      </c>
      <c r="Q321" s="40">
        <v>208399425.5156</v>
      </c>
      <c r="R321" s="40">
        <v>0</v>
      </c>
      <c r="S321" s="40">
        <v>6251982.7654999997</v>
      </c>
      <c r="T321" s="40">
        <f t="shared" si="72"/>
        <v>3125991.3827499999</v>
      </c>
      <c r="U321" s="40">
        <f t="shared" si="75"/>
        <v>3125991.3827499999</v>
      </c>
      <c r="V321" s="40">
        <v>153706739.5722</v>
      </c>
      <c r="W321" s="45">
        <f t="shared" si="68"/>
        <v>365232156.47055</v>
      </c>
    </row>
    <row r="322" spans="1:23" ht="24.9" customHeight="1">
      <c r="A322" s="151"/>
      <c r="B322" s="153"/>
      <c r="C322" s="36">
        <v>15</v>
      </c>
      <c r="D322" s="40" t="s">
        <v>759</v>
      </c>
      <c r="E322" s="40">
        <v>134562454.6029</v>
      </c>
      <c r="F322" s="40">
        <v>0</v>
      </c>
      <c r="G322" s="40">
        <v>4036873.6381000001</v>
      </c>
      <c r="H322" s="40">
        <f t="shared" si="79"/>
        <v>2018436.81905</v>
      </c>
      <c r="I322" s="40">
        <f t="shared" si="69"/>
        <v>2018436.81905</v>
      </c>
      <c r="J322" s="53">
        <v>51450746.134000003</v>
      </c>
      <c r="K322" s="45">
        <f t="shared" si="67"/>
        <v>188031637.55594999</v>
      </c>
      <c r="L322" s="44"/>
      <c r="M322" s="153"/>
      <c r="N322" s="46">
        <v>16</v>
      </c>
      <c r="O322" s="153"/>
      <c r="P322" s="40" t="s">
        <v>760</v>
      </c>
      <c r="Q322" s="40">
        <v>210293292.91150001</v>
      </c>
      <c r="R322" s="40">
        <v>0</v>
      </c>
      <c r="S322" s="40">
        <v>6308798.7873</v>
      </c>
      <c r="T322" s="40">
        <f t="shared" si="72"/>
        <v>3154399.39365</v>
      </c>
      <c r="U322" s="40">
        <f t="shared" si="75"/>
        <v>3154399.39365</v>
      </c>
      <c r="V322" s="40">
        <v>153842563.4337</v>
      </c>
      <c r="W322" s="45">
        <f t="shared" si="68"/>
        <v>367290255.73885</v>
      </c>
    </row>
    <row r="323" spans="1:23" ht="24.9" customHeight="1">
      <c r="A323" s="151"/>
      <c r="B323" s="153"/>
      <c r="C323" s="36">
        <v>16</v>
      </c>
      <c r="D323" s="40" t="s">
        <v>761</v>
      </c>
      <c r="E323" s="40">
        <v>145863943.34259999</v>
      </c>
      <c r="F323" s="40">
        <v>0</v>
      </c>
      <c r="G323" s="40">
        <v>4375918.3003000002</v>
      </c>
      <c r="H323" s="40">
        <f t="shared" si="79"/>
        <v>2187959.1501500001</v>
      </c>
      <c r="I323" s="40">
        <f t="shared" si="69"/>
        <v>2187959.1501500001</v>
      </c>
      <c r="J323" s="53">
        <v>56495898.215400003</v>
      </c>
      <c r="K323" s="45">
        <f t="shared" si="67"/>
        <v>204547800.70815</v>
      </c>
      <c r="L323" s="44"/>
      <c r="M323" s="153"/>
      <c r="N323" s="46">
        <v>17</v>
      </c>
      <c r="O323" s="153"/>
      <c r="P323" s="40" t="s">
        <v>762</v>
      </c>
      <c r="Q323" s="40">
        <v>144480885.5544</v>
      </c>
      <c r="R323" s="40">
        <v>0</v>
      </c>
      <c r="S323" s="40">
        <v>4334426.5665999996</v>
      </c>
      <c r="T323" s="40">
        <f t="shared" si="72"/>
        <v>2167213.2832999998</v>
      </c>
      <c r="U323" s="40">
        <f t="shared" si="75"/>
        <v>2167213.2832999998</v>
      </c>
      <c r="V323" s="40">
        <v>126022992.5536</v>
      </c>
      <c r="W323" s="45">
        <f t="shared" si="68"/>
        <v>272671091.39129996</v>
      </c>
    </row>
    <row r="324" spans="1:23" ht="24.9" customHeight="1">
      <c r="A324" s="151"/>
      <c r="B324" s="153"/>
      <c r="C324" s="36">
        <v>17</v>
      </c>
      <c r="D324" s="40" t="s">
        <v>763</v>
      </c>
      <c r="E324" s="40">
        <v>171239037.3035</v>
      </c>
      <c r="F324" s="40">
        <v>0</v>
      </c>
      <c r="G324" s="40">
        <v>5137171.1190999998</v>
      </c>
      <c r="H324" s="40">
        <f t="shared" si="79"/>
        <v>2568585.5595499999</v>
      </c>
      <c r="I324" s="40">
        <f t="shared" si="69"/>
        <v>2568585.5595499999</v>
      </c>
      <c r="J324" s="53">
        <v>59804312.311399996</v>
      </c>
      <c r="K324" s="45">
        <f t="shared" si="67"/>
        <v>233611935.17445001</v>
      </c>
      <c r="L324" s="44"/>
      <c r="M324" s="153"/>
      <c r="N324" s="46">
        <v>18</v>
      </c>
      <c r="O324" s="153"/>
      <c r="P324" s="40" t="s">
        <v>764</v>
      </c>
      <c r="Q324" s="40">
        <v>177784346.81779999</v>
      </c>
      <c r="R324" s="40">
        <v>0</v>
      </c>
      <c r="S324" s="40">
        <v>5333530.4045000002</v>
      </c>
      <c r="T324" s="40">
        <f t="shared" si="72"/>
        <v>2666765.2022500001</v>
      </c>
      <c r="U324" s="40">
        <f t="shared" si="75"/>
        <v>2666765.2022500001</v>
      </c>
      <c r="V324" s="40">
        <v>145604886.10859999</v>
      </c>
      <c r="W324" s="45">
        <f t="shared" si="68"/>
        <v>326055998.12864995</v>
      </c>
    </row>
    <row r="325" spans="1:23" ht="24.9" customHeight="1">
      <c r="A325" s="151"/>
      <c r="B325" s="153"/>
      <c r="C325" s="36">
        <v>18</v>
      </c>
      <c r="D325" s="40" t="s">
        <v>765</v>
      </c>
      <c r="E325" s="40">
        <v>185346108.07170001</v>
      </c>
      <c r="F325" s="40">
        <v>0</v>
      </c>
      <c r="G325" s="40">
        <v>5560383.2422000002</v>
      </c>
      <c r="H325" s="40">
        <f t="shared" si="79"/>
        <v>2780191.6211000001</v>
      </c>
      <c r="I325" s="40">
        <f t="shared" si="69"/>
        <v>2780191.6211000001</v>
      </c>
      <c r="J325" s="53">
        <v>65057851.687100001</v>
      </c>
      <c r="K325" s="45">
        <f t="shared" si="67"/>
        <v>253184151.37989998</v>
      </c>
      <c r="L325" s="44"/>
      <c r="M325" s="153"/>
      <c r="N325" s="46">
        <v>19</v>
      </c>
      <c r="O325" s="153"/>
      <c r="P325" s="40" t="s">
        <v>766</v>
      </c>
      <c r="Q325" s="40">
        <v>140911623.9806</v>
      </c>
      <c r="R325" s="40">
        <v>0</v>
      </c>
      <c r="S325" s="40">
        <v>4227348.7193999998</v>
      </c>
      <c r="T325" s="40">
        <f t="shared" si="72"/>
        <v>2113674.3596999999</v>
      </c>
      <c r="U325" s="40">
        <f t="shared" si="75"/>
        <v>2113674.3596999999</v>
      </c>
      <c r="V325" s="40">
        <v>129436264.79709999</v>
      </c>
      <c r="W325" s="45">
        <f t="shared" si="68"/>
        <v>272461563.13739997</v>
      </c>
    </row>
    <row r="326" spans="1:23" ht="24.9" customHeight="1">
      <c r="A326" s="151"/>
      <c r="B326" s="153"/>
      <c r="C326" s="36">
        <v>19</v>
      </c>
      <c r="D326" s="40" t="s">
        <v>767</v>
      </c>
      <c r="E326" s="40">
        <v>162390311.9285</v>
      </c>
      <c r="F326" s="40">
        <v>0</v>
      </c>
      <c r="G326" s="40">
        <v>4871709.3579000002</v>
      </c>
      <c r="H326" s="40">
        <f t="shared" si="79"/>
        <v>2435854.6789500001</v>
      </c>
      <c r="I326" s="40">
        <f t="shared" si="69"/>
        <v>2435854.6789500001</v>
      </c>
      <c r="J326" s="53">
        <v>58372845.7641</v>
      </c>
      <c r="K326" s="45">
        <f t="shared" si="67"/>
        <v>223199012.37154996</v>
      </c>
      <c r="L326" s="44"/>
      <c r="M326" s="153"/>
      <c r="N326" s="46">
        <v>20</v>
      </c>
      <c r="O326" s="153"/>
      <c r="P326" s="40" t="s">
        <v>768</v>
      </c>
      <c r="Q326" s="40">
        <v>152419791.60170001</v>
      </c>
      <c r="R326" s="40">
        <v>0</v>
      </c>
      <c r="S326" s="40">
        <v>4572593.7479999997</v>
      </c>
      <c r="T326" s="40">
        <f t="shared" si="72"/>
        <v>2286296.8739999998</v>
      </c>
      <c r="U326" s="40">
        <f t="shared" si="75"/>
        <v>2286296.8739999998</v>
      </c>
      <c r="V326" s="40">
        <v>136233438.37079999</v>
      </c>
      <c r="W326" s="45">
        <f t="shared" si="68"/>
        <v>290939526.84649998</v>
      </c>
    </row>
    <row r="327" spans="1:23" ht="24.9" customHeight="1">
      <c r="A327" s="151"/>
      <c r="B327" s="153"/>
      <c r="C327" s="36">
        <v>20</v>
      </c>
      <c r="D327" s="40" t="s">
        <v>769</v>
      </c>
      <c r="E327" s="40">
        <v>144266782.6559</v>
      </c>
      <c r="F327" s="40">
        <v>0</v>
      </c>
      <c r="G327" s="40">
        <v>4328003.4797</v>
      </c>
      <c r="H327" s="40">
        <f t="shared" si="79"/>
        <v>2164001.73985</v>
      </c>
      <c r="I327" s="40">
        <f t="shared" si="69"/>
        <v>2164001.73985</v>
      </c>
      <c r="J327" s="53">
        <v>53988472.781499997</v>
      </c>
      <c r="K327" s="45">
        <f t="shared" si="67"/>
        <v>200419257.17724997</v>
      </c>
      <c r="L327" s="44"/>
      <c r="M327" s="153"/>
      <c r="N327" s="46">
        <v>21</v>
      </c>
      <c r="O327" s="153"/>
      <c r="P327" s="40" t="s">
        <v>770</v>
      </c>
      <c r="Q327" s="40">
        <v>157421902.505</v>
      </c>
      <c r="R327" s="40">
        <v>0</v>
      </c>
      <c r="S327" s="40">
        <v>4722657.0751</v>
      </c>
      <c r="T327" s="40">
        <f t="shared" si="72"/>
        <v>2361328.53755</v>
      </c>
      <c r="U327" s="40">
        <f t="shared" si="75"/>
        <v>2361328.53755</v>
      </c>
      <c r="V327" s="40">
        <v>132402727.0386</v>
      </c>
      <c r="W327" s="45">
        <f t="shared" si="68"/>
        <v>292185958.08115</v>
      </c>
    </row>
    <row r="328" spans="1:23" ht="24.9" customHeight="1">
      <c r="A328" s="151"/>
      <c r="B328" s="153"/>
      <c r="C328" s="36">
        <v>21</v>
      </c>
      <c r="D328" s="40" t="s">
        <v>771</v>
      </c>
      <c r="E328" s="40">
        <v>158673636.949</v>
      </c>
      <c r="F328" s="40">
        <v>0</v>
      </c>
      <c r="G328" s="40">
        <v>4760209.1085000001</v>
      </c>
      <c r="H328" s="40">
        <f t="shared" si="79"/>
        <v>2380104.55425</v>
      </c>
      <c r="I328" s="40">
        <f t="shared" si="69"/>
        <v>2380104.55425</v>
      </c>
      <c r="J328" s="53">
        <v>59765638.394000001</v>
      </c>
      <c r="K328" s="45">
        <f t="shared" ref="K328:K391" si="80">E328+F328+G328-H328+J328</f>
        <v>220819379.89725</v>
      </c>
      <c r="L328" s="44"/>
      <c r="M328" s="153"/>
      <c r="N328" s="46">
        <v>22</v>
      </c>
      <c r="O328" s="153"/>
      <c r="P328" s="40" t="s">
        <v>772</v>
      </c>
      <c r="Q328" s="40">
        <v>292352912.78390002</v>
      </c>
      <c r="R328" s="40">
        <v>0</v>
      </c>
      <c r="S328" s="40">
        <v>8770587.3835000005</v>
      </c>
      <c r="T328" s="40">
        <f t="shared" si="72"/>
        <v>4385293.6917500002</v>
      </c>
      <c r="U328" s="40">
        <f t="shared" si="75"/>
        <v>4385293.6917500002</v>
      </c>
      <c r="V328" s="40">
        <v>188011833.38499999</v>
      </c>
      <c r="W328" s="45">
        <f t="shared" ref="W328:W391" si="81">Q328+R328+S328-T328+V328</f>
        <v>484750039.86065</v>
      </c>
    </row>
    <row r="329" spans="1:23" ht="24.9" customHeight="1">
      <c r="A329" s="151"/>
      <c r="B329" s="153"/>
      <c r="C329" s="36">
        <v>22</v>
      </c>
      <c r="D329" s="40" t="s">
        <v>773</v>
      </c>
      <c r="E329" s="40">
        <v>154355034.3109</v>
      </c>
      <c r="F329" s="40">
        <v>0</v>
      </c>
      <c r="G329" s="40">
        <v>4630651.0292999996</v>
      </c>
      <c r="H329" s="40">
        <f t="shared" si="79"/>
        <v>2315325.5146499998</v>
      </c>
      <c r="I329" s="40">
        <f t="shared" si="69"/>
        <v>2315325.5146499998</v>
      </c>
      <c r="J329" s="53">
        <v>56746946.428900003</v>
      </c>
      <c r="K329" s="45">
        <f t="shared" si="80"/>
        <v>213417306.25445002</v>
      </c>
      <c r="L329" s="44"/>
      <c r="M329" s="154"/>
      <c r="N329" s="46">
        <v>23</v>
      </c>
      <c r="O329" s="154"/>
      <c r="P329" s="40" t="s">
        <v>774</v>
      </c>
      <c r="Q329" s="40">
        <v>173039648.55000001</v>
      </c>
      <c r="R329" s="40">
        <v>0</v>
      </c>
      <c r="S329" s="40">
        <v>5191189.4565000003</v>
      </c>
      <c r="T329" s="40">
        <f t="shared" si="72"/>
        <v>2595594.7282500002</v>
      </c>
      <c r="U329" s="40">
        <f t="shared" si="75"/>
        <v>2595594.7282500002</v>
      </c>
      <c r="V329" s="40">
        <v>131752845.7447</v>
      </c>
      <c r="W329" s="45">
        <f t="shared" si="81"/>
        <v>307388089.02294999</v>
      </c>
    </row>
    <row r="330" spans="1:23" ht="24.9" customHeight="1">
      <c r="A330" s="151"/>
      <c r="B330" s="153"/>
      <c r="C330" s="36">
        <v>23</v>
      </c>
      <c r="D330" s="40" t="s">
        <v>775</v>
      </c>
      <c r="E330" s="40">
        <v>149301150.5988</v>
      </c>
      <c r="F330" s="40">
        <v>0</v>
      </c>
      <c r="G330" s="40">
        <v>4479034.5180000002</v>
      </c>
      <c r="H330" s="40">
        <f t="shared" si="79"/>
        <v>2239517.2590000001</v>
      </c>
      <c r="I330" s="40">
        <f t="shared" ref="I330:I393" si="82">G330-H330</f>
        <v>2239517.2590000001</v>
      </c>
      <c r="J330" s="53">
        <v>55659691.037199996</v>
      </c>
      <c r="K330" s="45">
        <f t="shared" si="80"/>
        <v>207200358.89500001</v>
      </c>
      <c r="L330" s="44"/>
      <c r="M330" s="36"/>
      <c r="N330" s="147" t="s">
        <v>776</v>
      </c>
      <c r="O330" s="148"/>
      <c r="P330" s="41"/>
      <c r="Q330" s="41">
        <f t="shared" ref="Q330:S330" si="83">SUM(Q307:Q329)</f>
        <v>4328263663.2686996</v>
      </c>
      <c r="R330" s="41">
        <f t="shared" si="83"/>
        <v>1E-4</v>
      </c>
      <c r="S330" s="41">
        <f t="shared" si="83"/>
        <v>129847909.89769998</v>
      </c>
      <c r="T330" s="41">
        <f t="shared" ref="T330:W330" si="84">SUM(T307:T329)</f>
        <v>64923954.948849991</v>
      </c>
      <c r="U330" s="41">
        <f t="shared" si="75"/>
        <v>64923954.948849991</v>
      </c>
      <c r="V330" s="41">
        <f t="shared" si="84"/>
        <v>3359385171.0331998</v>
      </c>
      <c r="W330" s="41">
        <f t="shared" si="84"/>
        <v>7752572789.2508497</v>
      </c>
    </row>
    <row r="331" spans="1:23" ht="24.9" customHeight="1">
      <c r="A331" s="151"/>
      <c r="B331" s="153"/>
      <c r="C331" s="36">
        <v>24</v>
      </c>
      <c r="D331" s="40" t="s">
        <v>777</v>
      </c>
      <c r="E331" s="40">
        <v>154450074.5323</v>
      </c>
      <c r="F331" s="40">
        <v>0</v>
      </c>
      <c r="G331" s="40">
        <v>4633502.2359999996</v>
      </c>
      <c r="H331" s="40">
        <f t="shared" si="79"/>
        <v>2316751.1179999998</v>
      </c>
      <c r="I331" s="40">
        <f t="shared" si="82"/>
        <v>2316751.1179999998</v>
      </c>
      <c r="J331" s="53">
        <v>56413234.377999999</v>
      </c>
      <c r="K331" s="45">
        <f t="shared" si="80"/>
        <v>213180060.02829999</v>
      </c>
      <c r="L331" s="44"/>
      <c r="M331" s="152">
        <v>33</v>
      </c>
      <c r="N331" s="46">
        <v>1</v>
      </c>
      <c r="O331" s="161" t="s">
        <v>115</v>
      </c>
      <c r="P331" s="40" t="s">
        <v>778</v>
      </c>
      <c r="Q331" s="40">
        <v>162123102.39109999</v>
      </c>
      <c r="R331" s="40">
        <f t="shared" ref="R331:R353" si="85">-1564740.79</f>
        <v>-1564740.79</v>
      </c>
      <c r="S331" s="40">
        <v>4863693.0717000002</v>
      </c>
      <c r="T331" s="40">
        <v>0</v>
      </c>
      <c r="U331" s="40">
        <f t="shared" si="75"/>
        <v>4863693.0717000002</v>
      </c>
      <c r="V331" s="40">
        <v>57131590.287199996</v>
      </c>
      <c r="W331" s="45">
        <f t="shared" si="81"/>
        <v>222553644.96000001</v>
      </c>
    </row>
    <row r="332" spans="1:23" ht="24.9" customHeight="1">
      <c r="A332" s="151"/>
      <c r="B332" s="153"/>
      <c r="C332" s="36">
        <v>25</v>
      </c>
      <c r="D332" s="40" t="s">
        <v>779</v>
      </c>
      <c r="E332" s="40">
        <v>155864509.35640001</v>
      </c>
      <c r="F332" s="40">
        <v>0</v>
      </c>
      <c r="G332" s="40">
        <v>4675935.2807</v>
      </c>
      <c r="H332" s="40">
        <f t="shared" si="79"/>
        <v>2337967.64035</v>
      </c>
      <c r="I332" s="40">
        <f t="shared" si="82"/>
        <v>2337967.64035</v>
      </c>
      <c r="J332" s="53">
        <v>57705155.862199999</v>
      </c>
      <c r="K332" s="45">
        <f t="shared" si="80"/>
        <v>215907632.85894999</v>
      </c>
      <c r="L332" s="44"/>
      <c r="M332" s="153"/>
      <c r="N332" s="46">
        <v>2</v>
      </c>
      <c r="O332" s="162"/>
      <c r="P332" s="40" t="s">
        <v>780</v>
      </c>
      <c r="Q332" s="40">
        <v>184550414.22549999</v>
      </c>
      <c r="R332" s="40">
        <f t="shared" si="85"/>
        <v>-1564740.79</v>
      </c>
      <c r="S332" s="40">
        <v>5536512.4267999995</v>
      </c>
      <c r="T332" s="40">
        <v>0</v>
      </c>
      <c r="U332" s="40">
        <f t="shared" si="75"/>
        <v>5536512.4267999995</v>
      </c>
      <c r="V332" s="40">
        <v>66484963.616800003</v>
      </c>
      <c r="W332" s="45">
        <f t="shared" si="81"/>
        <v>255007149.47910002</v>
      </c>
    </row>
    <row r="333" spans="1:23" ht="24.9" customHeight="1">
      <c r="A333" s="151"/>
      <c r="B333" s="153"/>
      <c r="C333" s="36">
        <v>26</v>
      </c>
      <c r="D333" s="40" t="s">
        <v>781</v>
      </c>
      <c r="E333" s="40">
        <v>165813343.56920001</v>
      </c>
      <c r="F333" s="40">
        <v>0</v>
      </c>
      <c r="G333" s="40">
        <v>4974400.3070999999</v>
      </c>
      <c r="H333" s="40">
        <f t="shared" si="79"/>
        <v>2487200.1535499999</v>
      </c>
      <c r="I333" s="40">
        <f t="shared" si="82"/>
        <v>2487200.1535499999</v>
      </c>
      <c r="J333" s="53">
        <v>64108546.557800002</v>
      </c>
      <c r="K333" s="45">
        <f t="shared" si="80"/>
        <v>232409090.28055</v>
      </c>
      <c r="L333" s="44"/>
      <c r="M333" s="153"/>
      <c r="N333" s="46">
        <v>3</v>
      </c>
      <c r="O333" s="162"/>
      <c r="P333" s="40" t="s">
        <v>782</v>
      </c>
      <c r="Q333" s="40">
        <v>198883749.05630001</v>
      </c>
      <c r="R333" s="40">
        <f t="shared" si="85"/>
        <v>-1564740.79</v>
      </c>
      <c r="S333" s="40">
        <v>5966512.4716999996</v>
      </c>
      <c r="T333" s="40">
        <v>0</v>
      </c>
      <c r="U333" s="40">
        <f t="shared" si="75"/>
        <v>5966512.4716999996</v>
      </c>
      <c r="V333" s="40">
        <v>69028670.767000005</v>
      </c>
      <c r="W333" s="45">
        <f t="shared" si="81"/>
        <v>272314191.50500005</v>
      </c>
    </row>
    <row r="334" spans="1:23" ht="24.9" customHeight="1">
      <c r="A334" s="151"/>
      <c r="B334" s="154"/>
      <c r="C334" s="36">
        <v>27</v>
      </c>
      <c r="D334" s="40" t="s">
        <v>783</v>
      </c>
      <c r="E334" s="40">
        <v>148334071.72749999</v>
      </c>
      <c r="F334" s="40">
        <v>0</v>
      </c>
      <c r="G334" s="40">
        <v>4450022.1518000001</v>
      </c>
      <c r="H334" s="40">
        <f t="shared" si="79"/>
        <v>2225011.0759000001</v>
      </c>
      <c r="I334" s="40">
        <f t="shared" si="82"/>
        <v>2225011.0759000001</v>
      </c>
      <c r="J334" s="53">
        <v>53990864.982600003</v>
      </c>
      <c r="K334" s="45">
        <f t="shared" si="80"/>
        <v>204549947.78600001</v>
      </c>
      <c r="L334" s="44"/>
      <c r="M334" s="153"/>
      <c r="N334" s="46">
        <v>4</v>
      </c>
      <c r="O334" s="162"/>
      <c r="P334" s="40" t="s">
        <v>784</v>
      </c>
      <c r="Q334" s="40">
        <v>215940479.72499999</v>
      </c>
      <c r="R334" s="40">
        <f t="shared" si="85"/>
        <v>-1564740.79</v>
      </c>
      <c r="S334" s="40">
        <v>6478214.3918000003</v>
      </c>
      <c r="T334" s="40">
        <v>0</v>
      </c>
      <c r="U334" s="40">
        <f t="shared" si="75"/>
        <v>6478214.3918000003</v>
      </c>
      <c r="V334" s="40">
        <v>76168194.895500004</v>
      </c>
      <c r="W334" s="45">
        <f t="shared" si="81"/>
        <v>297022148.22229999</v>
      </c>
    </row>
    <row r="335" spans="1:23" ht="24.9" customHeight="1">
      <c r="A335" s="36"/>
      <c r="B335" s="146" t="s">
        <v>785</v>
      </c>
      <c r="C335" s="147"/>
      <c r="D335" s="41"/>
      <c r="E335" s="41">
        <f>SUM(E308:E334)</f>
        <v>4383562274.2329006</v>
      </c>
      <c r="F335" s="41">
        <f t="shared" ref="F335:G335" si="86">SUM(F308:F334)</f>
        <v>0</v>
      </c>
      <c r="G335" s="41">
        <f t="shared" si="86"/>
        <v>131506868.22710003</v>
      </c>
      <c r="H335" s="41">
        <f t="shared" si="79"/>
        <v>65753434.113550015</v>
      </c>
      <c r="I335" s="41">
        <f t="shared" si="82"/>
        <v>65753434.113550015</v>
      </c>
      <c r="J335" s="41">
        <f>SUM(J308:J334)</f>
        <v>1624508907.5369</v>
      </c>
      <c r="K335" s="41">
        <f>SUM(K308:K334)</f>
        <v>6073824615.8833504</v>
      </c>
      <c r="L335" s="44"/>
      <c r="M335" s="153"/>
      <c r="N335" s="46">
        <v>5</v>
      </c>
      <c r="O335" s="162"/>
      <c r="P335" s="40" t="s">
        <v>786</v>
      </c>
      <c r="Q335" s="40">
        <v>203136270.68380001</v>
      </c>
      <c r="R335" s="40">
        <f t="shared" si="85"/>
        <v>-1564740.79</v>
      </c>
      <c r="S335" s="40">
        <v>6094088.1205000002</v>
      </c>
      <c r="T335" s="40">
        <v>0</v>
      </c>
      <c r="U335" s="40">
        <f t="shared" si="75"/>
        <v>6094088.1205000002</v>
      </c>
      <c r="V335" s="40">
        <v>67400645.030900002</v>
      </c>
      <c r="W335" s="45">
        <f t="shared" si="81"/>
        <v>275066263.04519999</v>
      </c>
    </row>
    <row r="336" spans="1:23" ht="24.9" customHeight="1">
      <c r="A336" s="151">
        <v>17</v>
      </c>
      <c r="B336" s="152" t="s">
        <v>787</v>
      </c>
      <c r="C336" s="36">
        <v>1</v>
      </c>
      <c r="D336" s="40" t="s">
        <v>788</v>
      </c>
      <c r="E336" s="40">
        <v>154902033.98539999</v>
      </c>
      <c r="F336" s="40">
        <v>0</v>
      </c>
      <c r="G336" s="40">
        <v>4647061.0196000002</v>
      </c>
      <c r="H336" s="40">
        <v>0</v>
      </c>
      <c r="I336" s="40">
        <f t="shared" si="82"/>
        <v>4647061.0196000002</v>
      </c>
      <c r="J336" s="53">
        <v>59831470.205200002</v>
      </c>
      <c r="K336" s="45">
        <f t="shared" si="80"/>
        <v>219380565.21020001</v>
      </c>
      <c r="L336" s="44"/>
      <c r="M336" s="153"/>
      <c r="N336" s="46">
        <v>6</v>
      </c>
      <c r="O336" s="162"/>
      <c r="P336" s="40" t="s">
        <v>789</v>
      </c>
      <c r="Q336" s="40">
        <v>184064454.39449999</v>
      </c>
      <c r="R336" s="40">
        <f t="shared" si="85"/>
        <v>-1564740.79</v>
      </c>
      <c r="S336" s="40">
        <v>5521933.6317999996</v>
      </c>
      <c r="T336" s="40">
        <v>0</v>
      </c>
      <c r="U336" s="40">
        <f t="shared" si="75"/>
        <v>5521933.6317999996</v>
      </c>
      <c r="V336" s="40">
        <v>55871299.017300002</v>
      </c>
      <c r="W336" s="45">
        <f t="shared" si="81"/>
        <v>243892946.2536</v>
      </c>
    </row>
    <row r="337" spans="1:23" ht="24.9" customHeight="1">
      <c r="A337" s="151"/>
      <c r="B337" s="153"/>
      <c r="C337" s="36">
        <v>2</v>
      </c>
      <c r="D337" s="40" t="s">
        <v>790</v>
      </c>
      <c r="E337" s="40">
        <v>183204375.75749999</v>
      </c>
      <c r="F337" s="40">
        <v>0</v>
      </c>
      <c r="G337" s="40">
        <v>5496131.2726999996</v>
      </c>
      <c r="H337" s="40">
        <v>0</v>
      </c>
      <c r="I337" s="40">
        <f t="shared" si="82"/>
        <v>5496131.2726999996</v>
      </c>
      <c r="J337" s="53">
        <v>69945164.778600007</v>
      </c>
      <c r="K337" s="45">
        <f t="shared" si="80"/>
        <v>258645671.80880001</v>
      </c>
      <c r="L337" s="44"/>
      <c r="M337" s="153"/>
      <c r="N337" s="46">
        <v>7</v>
      </c>
      <c r="O337" s="162"/>
      <c r="P337" s="40" t="s">
        <v>791</v>
      </c>
      <c r="Q337" s="40">
        <v>210227871.70339999</v>
      </c>
      <c r="R337" s="40">
        <f t="shared" si="85"/>
        <v>-1564740.79</v>
      </c>
      <c r="S337" s="40">
        <v>6306836.1511000004</v>
      </c>
      <c r="T337" s="40">
        <v>0</v>
      </c>
      <c r="U337" s="40">
        <f t="shared" si="75"/>
        <v>6306836.1511000004</v>
      </c>
      <c r="V337" s="40">
        <v>73920987.779400006</v>
      </c>
      <c r="W337" s="45">
        <f t="shared" si="81"/>
        <v>288890954.84390002</v>
      </c>
    </row>
    <row r="338" spans="1:23" ht="24.9" customHeight="1">
      <c r="A338" s="151"/>
      <c r="B338" s="153"/>
      <c r="C338" s="36">
        <v>3</v>
      </c>
      <c r="D338" s="40" t="s">
        <v>792</v>
      </c>
      <c r="E338" s="40">
        <v>227361626.6767</v>
      </c>
      <c r="F338" s="40">
        <v>0</v>
      </c>
      <c r="G338" s="40">
        <v>6820848.8003000002</v>
      </c>
      <c r="H338" s="40">
        <v>0</v>
      </c>
      <c r="I338" s="40">
        <f t="shared" si="82"/>
        <v>6820848.8003000002</v>
      </c>
      <c r="J338" s="53">
        <v>83935819.905200005</v>
      </c>
      <c r="K338" s="45">
        <f t="shared" si="80"/>
        <v>318118295.3822</v>
      </c>
      <c r="L338" s="44"/>
      <c r="M338" s="153"/>
      <c r="N338" s="46">
        <v>8</v>
      </c>
      <c r="O338" s="162"/>
      <c r="P338" s="40" t="s">
        <v>793</v>
      </c>
      <c r="Q338" s="40">
        <v>179389696.83500001</v>
      </c>
      <c r="R338" s="40">
        <f t="shared" si="85"/>
        <v>-1564740.79</v>
      </c>
      <c r="S338" s="40">
        <v>5381690.9050000003</v>
      </c>
      <c r="T338" s="40">
        <v>0</v>
      </c>
      <c r="U338" s="40">
        <f t="shared" si="75"/>
        <v>5381690.9050000003</v>
      </c>
      <c r="V338" s="40">
        <v>63173492.819300003</v>
      </c>
      <c r="W338" s="45">
        <f t="shared" si="81"/>
        <v>246380139.76930001</v>
      </c>
    </row>
    <row r="339" spans="1:23" ht="24.9" customHeight="1">
      <c r="A339" s="151"/>
      <c r="B339" s="153"/>
      <c r="C339" s="36">
        <v>4</v>
      </c>
      <c r="D339" s="40" t="s">
        <v>794</v>
      </c>
      <c r="E339" s="40">
        <v>171972492.38640001</v>
      </c>
      <c r="F339" s="40">
        <v>0</v>
      </c>
      <c r="G339" s="40">
        <v>5159174.7715999996</v>
      </c>
      <c r="H339" s="40">
        <v>0</v>
      </c>
      <c r="I339" s="40">
        <f t="shared" si="82"/>
        <v>5159174.7715999996</v>
      </c>
      <c r="J339" s="53">
        <v>61204062.025899999</v>
      </c>
      <c r="K339" s="45">
        <f t="shared" si="80"/>
        <v>238335729.18390003</v>
      </c>
      <c r="L339" s="44"/>
      <c r="M339" s="153"/>
      <c r="N339" s="46">
        <v>9</v>
      </c>
      <c r="O339" s="162"/>
      <c r="P339" s="40" t="s">
        <v>795</v>
      </c>
      <c r="Q339" s="40">
        <v>203055774.94440001</v>
      </c>
      <c r="R339" s="40">
        <f t="shared" si="85"/>
        <v>-1564740.79</v>
      </c>
      <c r="S339" s="40">
        <v>6091673.2483000001</v>
      </c>
      <c r="T339" s="40">
        <v>0</v>
      </c>
      <c r="U339" s="40">
        <f t="shared" si="75"/>
        <v>6091673.2483000001</v>
      </c>
      <c r="V339" s="40">
        <v>62590593.155699998</v>
      </c>
      <c r="W339" s="45">
        <f t="shared" si="81"/>
        <v>270173300.55840003</v>
      </c>
    </row>
    <row r="340" spans="1:23" ht="24.9" customHeight="1">
      <c r="A340" s="151"/>
      <c r="B340" s="153"/>
      <c r="C340" s="36">
        <v>5</v>
      </c>
      <c r="D340" s="40" t="s">
        <v>796</v>
      </c>
      <c r="E340" s="40">
        <v>147567400.26159999</v>
      </c>
      <c r="F340" s="40">
        <v>1E-4</v>
      </c>
      <c r="G340" s="40">
        <v>4427022.0078999996</v>
      </c>
      <c r="H340" s="40">
        <v>0</v>
      </c>
      <c r="I340" s="40">
        <f t="shared" si="82"/>
        <v>4427022.0078999996</v>
      </c>
      <c r="J340" s="53">
        <v>52972896.8037</v>
      </c>
      <c r="K340" s="45">
        <f t="shared" si="80"/>
        <v>204967319.07329997</v>
      </c>
      <c r="L340" s="44"/>
      <c r="M340" s="153"/>
      <c r="N340" s="46">
        <v>10</v>
      </c>
      <c r="O340" s="162"/>
      <c r="P340" s="40" t="s">
        <v>797</v>
      </c>
      <c r="Q340" s="40">
        <v>183331095.09369999</v>
      </c>
      <c r="R340" s="40">
        <f t="shared" si="85"/>
        <v>-1564740.79</v>
      </c>
      <c r="S340" s="40">
        <v>5499932.8528000005</v>
      </c>
      <c r="T340" s="40">
        <v>0</v>
      </c>
      <c r="U340" s="40">
        <f t="shared" si="75"/>
        <v>5499932.8528000005</v>
      </c>
      <c r="V340" s="40">
        <v>59740551.366999999</v>
      </c>
      <c r="W340" s="45">
        <f t="shared" si="81"/>
        <v>247006838.52350003</v>
      </c>
    </row>
    <row r="341" spans="1:23" ht="24.9" customHeight="1">
      <c r="A341" s="151"/>
      <c r="B341" s="153"/>
      <c r="C341" s="36">
        <v>6</v>
      </c>
      <c r="D341" s="40" t="s">
        <v>798</v>
      </c>
      <c r="E341" s="40">
        <v>144759700.91190001</v>
      </c>
      <c r="F341" s="40">
        <v>0</v>
      </c>
      <c r="G341" s="40">
        <v>4342791.0274</v>
      </c>
      <c r="H341" s="40">
        <v>0</v>
      </c>
      <c r="I341" s="40">
        <f t="shared" si="82"/>
        <v>4342791.0274</v>
      </c>
      <c r="J341" s="53">
        <v>55229141.123999998</v>
      </c>
      <c r="K341" s="45">
        <f t="shared" si="80"/>
        <v>204331633.06330001</v>
      </c>
      <c r="L341" s="44"/>
      <c r="M341" s="153"/>
      <c r="N341" s="46">
        <v>11</v>
      </c>
      <c r="O341" s="162"/>
      <c r="P341" s="40" t="s">
        <v>799</v>
      </c>
      <c r="Q341" s="40">
        <v>170004229.4197</v>
      </c>
      <c r="R341" s="40">
        <f t="shared" si="85"/>
        <v>-1564740.79</v>
      </c>
      <c r="S341" s="40">
        <v>5100126.8826000001</v>
      </c>
      <c r="T341" s="40">
        <v>0</v>
      </c>
      <c r="U341" s="40">
        <f t="shared" si="75"/>
        <v>5100126.8826000001</v>
      </c>
      <c r="V341" s="40">
        <v>60968680.822300002</v>
      </c>
      <c r="W341" s="45">
        <f t="shared" si="81"/>
        <v>234508296.33460003</v>
      </c>
    </row>
    <row r="342" spans="1:23" ht="24.9" customHeight="1">
      <c r="A342" s="151"/>
      <c r="B342" s="153"/>
      <c r="C342" s="36">
        <v>7</v>
      </c>
      <c r="D342" s="40" t="s">
        <v>800</v>
      </c>
      <c r="E342" s="40">
        <v>203202878.0645</v>
      </c>
      <c r="F342" s="40">
        <v>0</v>
      </c>
      <c r="G342" s="40">
        <v>6096086.3419000003</v>
      </c>
      <c r="H342" s="40">
        <v>0</v>
      </c>
      <c r="I342" s="40">
        <f t="shared" si="82"/>
        <v>6096086.3419000003</v>
      </c>
      <c r="J342" s="53">
        <v>75000948.864800006</v>
      </c>
      <c r="K342" s="45">
        <f t="shared" si="80"/>
        <v>284299913.2712</v>
      </c>
      <c r="L342" s="44"/>
      <c r="M342" s="153"/>
      <c r="N342" s="46">
        <v>12</v>
      </c>
      <c r="O342" s="162"/>
      <c r="P342" s="40" t="s">
        <v>801</v>
      </c>
      <c r="Q342" s="40">
        <v>202410719.40880001</v>
      </c>
      <c r="R342" s="40">
        <f t="shared" si="85"/>
        <v>-1564740.79</v>
      </c>
      <c r="S342" s="40">
        <v>6072321.5822999999</v>
      </c>
      <c r="T342" s="40">
        <v>0</v>
      </c>
      <c r="U342" s="40">
        <f t="shared" si="75"/>
        <v>6072321.5822999999</v>
      </c>
      <c r="V342" s="40">
        <v>62997533.139799997</v>
      </c>
      <c r="W342" s="45">
        <f t="shared" si="81"/>
        <v>269915833.3409</v>
      </c>
    </row>
    <row r="343" spans="1:23" ht="24.9" customHeight="1">
      <c r="A343" s="151"/>
      <c r="B343" s="153"/>
      <c r="C343" s="36">
        <v>8</v>
      </c>
      <c r="D343" s="40" t="s">
        <v>802</v>
      </c>
      <c r="E343" s="40">
        <v>170541876.99919999</v>
      </c>
      <c r="F343" s="40">
        <v>0</v>
      </c>
      <c r="G343" s="40">
        <v>5116256.3099999996</v>
      </c>
      <c r="H343" s="40">
        <v>0</v>
      </c>
      <c r="I343" s="40">
        <f t="shared" si="82"/>
        <v>5116256.3099999996</v>
      </c>
      <c r="J343" s="53">
        <v>62520304.221100003</v>
      </c>
      <c r="K343" s="45">
        <f t="shared" si="80"/>
        <v>238178437.53029999</v>
      </c>
      <c r="L343" s="44"/>
      <c r="M343" s="153"/>
      <c r="N343" s="46">
        <v>13</v>
      </c>
      <c r="O343" s="162"/>
      <c r="P343" s="40" t="s">
        <v>803</v>
      </c>
      <c r="Q343" s="40">
        <v>212369689.83539999</v>
      </c>
      <c r="R343" s="40">
        <f t="shared" si="85"/>
        <v>-1564740.79</v>
      </c>
      <c r="S343" s="40">
        <v>6371090.6951000001</v>
      </c>
      <c r="T343" s="40">
        <v>0</v>
      </c>
      <c r="U343" s="40">
        <f t="shared" si="75"/>
        <v>6371090.6951000001</v>
      </c>
      <c r="V343" s="40">
        <v>70763415.251499996</v>
      </c>
      <c r="W343" s="45">
        <f t="shared" si="81"/>
        <v>287939454.99199998</v>
      </c>
    </row>
    <row r="344" spans="1:23" ht="24.9" customHeight="1">
      <c r="A344" s="151"/>
      <c r="B344" s="153"/>
      <c r="C344" s="36">
        <v>9</v>
      </c>
      <c r="D344" s="40" t="s">
        <v>804</v>
      </c>
      <c r="E344" s="40">
        <v>149383366.34529999</v>
      </c>
      <c r="F344" s="40">
        <v>0</v>
      </c>
      <c r="G344" s="40">
        <v>4481500.9903999995</v>
      </c>
      <c r="H344" s="40">
        <v>0</v>
      </c>
      <c r="I344" s="40">
        <f t="shared" si="82"/>
        <v>4481500.9903999995</v>
      </c>
      <c r="J344" s="53">
        <v>56530232.712399997</v>
      </c>
      <c r="K344" s="45">
        <f t="shared" si="80"/>
        <v>210395100.04809996</v>
      </c>
      <c r="L344" s="44"/>
      <c r="M344" s="153"/>
      <c r="N344" s="46">
        <v>14</v>
      </c>
      <c r="O344" s="162"/>
      <c r="P344" s="40" t="s">
        <v>805</v>
      </c>
      <c r="Q344" s="40">
        <v>191356341.17789999</v>
      </c>
      <c r="R344" s="40">
        <f t="shared" si="85"/>
        <v>-1564740.79</v>
      </c>
      <c r="S344" s="40">
        <v>5740690.2352999998</v>
      </c>
      <c r="T344" s="40">
        <v>0</v>
      </c>
      <c r="U344" s="40">
        <f t="shared" si="75"/>
        <v>5740690.2352999998</v>
      </c>
      <c r="V344" s="40">
        <v>63960792.775399998</v>
      </c>
      <c r="W344" s="45">
        <f t="shared" si="81"/>
        <v>259493083.39859998</v>
      </c>
    </row>
    <row r="345" spans="1:23" ht="24.9" customHeight="1">
      <c r="A345" s="151"/>
      <c r="B345" s="153"/>
      <c r="C345" s="36">
        <v>10</v>
      </c>
      <c r="D345" s="40" t="s">
        <v>806</v>
      </c>
      <c r="E345" s="40">
        <v>157815395.2942</v>
      </c>
      <c r="F345" s="40">
        <v>0</v>
      </c>
      <c r="G345" s="40">
        <v>4734461.8587999996</v>
      </c>
      <c r="H345" s="40">
        <v>0</v>
      </c>
      <c r="I345" s="40">
        <f t="shared" si="82"/>
        <v>4734461.8587999996</v>
      </c>
      <c r="J345" s="53">
        <v>57574428.484499998</v>
      </c>
      <c r="K345" s="45">
        <f t="shared" si="80"/>
        <v>220124285.63749999</v>
      </c>
      <c r="L345" s="44"/>
      <c r="M345" s="153"/>
      <c r="N345" s="46">
        <v>15</v>
      </c>
      <c r="O345" s="162"/>
      <c r="P345" s="40" t="s">
        <v>807</v>
      </c>
      <c r="Q345" s="40">
        <v>171347881.1498</v>
      </c>
      <c r="R345" s="40">
        <f t="shared" si="85"/>
        <v>-1564740.79</v>
      </c>
      <c r="S345" s="40">
        <v>5140436.4345000004</v>
      </c>
      <c r="T345" s="40">
        <v>0</v>
      </c>
      <c r="U345" s="40">
        <f t="shared" si="75"/>
        <v>5140436.4345000004</v>
      </c>
      <c r="V345" s="40">
        <v>57045338.148199998</v>
      </c>
      <c r="W345" s="45">
        <f t="shared" si="81"/>
        <v>231968914.94250003</v>
      </c>
    </row>
    <row r="346" spans="1:23" ht="24.9" customHeight="1">
      <c r="A346" s="151"/>
      <c r="B346" s="153"/>
      <c r="C346" s="36">
        <v>11</v>
      </c>
      <c r="D346" s="40" t="s">
        <v>808</v>
      </c>
      <c r="E346" s="40">
        <v>219530371.6796</v>
      </c>
      <c r="F346" s="40">
        <v>0</v>
      </c>
      <c r="G346" s="40">
        <v>6585911.1503999997</v>
      </c>
      <c r="H346" s="40">
        <v>0</v>
      </c>
      <c r="I346" s="40">
        <f t="shared" si="82"/>
        <v>6585911.1503999997</v>
      </c>
      <c r="J346" s="53">
        <v>78514693.5537</v>
      </c>
      <c r="K346" s="45">
        <f t="shared" si="80"/>
        <v>304630976.38370001</v>
      </c>
      <c r="L346" s="44"/>
      <c r="M346" s="153"/>
      <c r="N346" s="46">
        <v>16</v>
      </c>
      <c r="O346" s="162"/>
      <c r="P346" s="40" t="s">
        <v>809</v>
      </c>
      <c r="Q346" s="40">
        <v>190408258.43830001</v>
      </c>
      <c r="R346" s="40">
        <f t="shared" si="85"/>
        <v>-1564740.79</v>
      </c>
      <c r="S346" s="40">
        <v>5712247.7531000003</v>
      </c>
      <c r="T346" s="40">
        <v>0</v>
      </c>
      <c r="U346" s="40">
        <f t="shared" si="75"/>
        <v>5712247.7531000003</v>
      </c>
      <c r="V346" s="40">
        <v>74118743.068800002</v>
      </c>
      <c r="W346" s="45">
        <f t="shared" si="81"/>
        <v>268674508.47020006</v>
      </c>
    </row>
    <row r="347" spans="1:23" ht="24.9" customHeight="1">
      <c r="A347" s="151"/>
      <c r="B347" s="153"/>
      <c r="C347" s="36">
        <v>12</v>
      </c>
      <c r="D347" s="40" t="s">
        <v>810</v>
      </c>
      <c r="E347" s="40">
        <v>162312754.1178</v>
      </c>
      <c r="F347" s="40">
        <v>0</v>
      </c>
      <c r="G347" s="40">
        <v>4869382.6234999998</v>
      </c>
      <c r="H347" s="40">
        <v>0</v>
      </c>
      <c r="I347" s="40">
        <f t="shared" si="82"/>
        <v>4869382.6234999998</v>
      </c>
      <c r="J347" s="53">
        <v>58836846.155400001</v>
      </c>
      <c r="K347" s="45">
        <f t="shared" si="80"/>
        <v>226018982.89669999</v>
      </c>
      <c r="L347" s="44"/>
      <c r="M347" s="153"/>
      <c r="N347" s="46">
        <v>17</v>
      </c>
      <c r="O347" s="162"/>
      <c r="P347" s="40" t="s">
        <v>811</v>
      </c>
      <c r="Q347" s="40">
        <v>188870045.61469999</v>
      </c>
      <c r="R347" s="40">
        <f t="shared" si="85"/>
        <v>-1564740.79</v>
      </c>
      <c r="S347" s="40">
        <v>5666101.3684</v>
      </c>
      <c r="T347" s="40">
        <v>0</v>
      </c>
      <c r="U347" s="40">
        <f t="shared" si="75"/>
        <v>5666101.3684</v>
      </c>
      <c r="V347" s="40">
        <v>69077577.989199996</v>
      </c>
      <c r="W347" s="45">
        <f t="shared" si="81"/>
        <v>262048984.1823</v>
      </c>
    </row>
    <row r="348" spans="1:23" ht="24.9" customHeight="1">
      <c r="A348" s="151"/>
      <c r="B348" s="153"/>
      <c r="C348" s="36">
        <v>13</v>
      </c>
      <c r="D348" s="40" t="s">
        <v>812</v>
      </c>
      <c r="E348" s="40">
        <v>137018421.87169999</v>
      </c>
      <c r="F348" s="40">
        <v>0</v>
      </c>
      <c r="G348" s="40">
        <v>4110552.6560999998</v>
      </c>
      <c r="H348" s="40">
        <v>0</v>
      </c>
      <c r="I348" s="40">
        <f t="shared" si="82"/>
        <v>4110552.6560999998</v>
      </c>
      <c r="J348" s="53">
        <v>56326496.920199998</v>
      </c>
      <c r="K348" s="45">
        <f t="shared" si="80"/>
        <v>197455471.44799998</v>
      </c>
      <c r="L348" s="44"/>
      <c r="M348" s="153"/>
      <c r="N348" s="46">
        <v>18</v>
      </c>
      <c r="O348" s="162"/>
      <c r="P348" s="40" t="s">
        <v>813</v>
      </c>
      <c r="Q348" s="40">
        <v>211480908.64050001</v>
      </c>
      <c r="R348" s="40">
        <f t="shared" si="85"/>
        <v>-1564740.79</v>
      </c>
      <c r="S348" s="40">
        <v>6344427.2592000002</v>
      </c>
      <c r="T348" s="40">
        <v>0</v>
      </c>
      <c r="U348" s="40">
        <f t="shared" si="75"/>
        <v>6344427.2592000002</v>
      </c>
      <c r="V348" s="40">
        <v>73066839.093099996</v>
      </c>
      <c r="W348" s="45">
        <f t="shared" si="81"/>
        <v>289327434.20280004</v>
      </c>
    </row>
    <row r="349" spans="1:23" ht="24.9" customHeight="1">
      <c r="A349" s="151"/>
      <c r="B349" s="153"/>
      <c r="C349" s="36">
        <v>14</v>
      </c>
      <c r="D349" s="40" t="s">
        <v>814</v>
      </c>
      <c r="E349" s="40">
        <v>188327448.54269999</v>
      </c>
      <c r="F349" s="40">
        <v>0</v>
      </c>
      <c r="G349" s="40">
        <v>5649823.4562999997</v>
      </c>
      <c r="H349" s="40">
        <v>0</v>
      </c>
      <c r="I349" s="40">
        <f t="shared" si="82"/>
        <v>5649823.4562999997</v>
      </c>
      <c r="J349" s="53">
        <v>72735135.740199998</v>
      </c>
      <c r="K349" s="45">
        <f t="shared" si="80"/>
        <v>266712407.7392</v>
      </c>
      <c r="L349" s="44"/>
      <c r="M349" s="153"/>
      <c r="N349" s="46">
        <v>19</v>
      </c>
      <c r="O349" s="162"/>
      <c r="P349" s="40" t="s">
        <v>815</v>
      </c>
      <c r="Q349" s="40">
        <v>194976875.06380001</v>
      </c>
      <c r="R349" s="40">
        <f t="shared" si="85"/>
        <v>-1564740.79</v>
      </c>
      <c r="S349" s="40">
        <v>5849306.2518999996</v>
      </c>
      <c r="T349" s="40">
        <v>0</v>
      </c>
      <c r="U349" s="40">
        <f t="shared" si="75"/>
        <v>5849306.2518999996</v>
      </c>
      <c r="V349" s="40">
        <v>58304566.217600003</v>
      </c>
      <c r="W349" s="45">
        <f t="shared" si="81"/>
        <v>257566006.74330002</v>
      </c>
    </row>
    <row r="350" spans="1:23" ht="24.9" customHeight="1">
      <c r="A350" s="151"/>
      <c r="B350" s="153"/>
      <c r="C350" s="36">
        <v>15</v>
      </c>
      <c r="D350" s="40" t="s">
        <v>816</v>
      </c>
      <c r="E350" s="40">
        <v>211820167.1618</v>
      </c>
      <c r="F350" s="40">
        <v>0</v>
      </c>
      <c r="G350" s="40">
        <v>6354605.0148999998</v>
      </c>
      <c r="H350" s="40">
        <v>0</v>
      </c>
      <c r="I350" s="40">
        <f t="shared" si="82"/>
        <v>6354605.0148999998</v>
      </c>
      <c r="J350" s="53">
        <v>78312153.862100005</v>
      </c>
      <c r="K350" s="45">
        <f t="shared" si="80"/>
        <v>296486926.0388</v>
      </c>
      <c r="L350" s="44"/>
      <c r="M350" s="153"/>
      <c r="N350" s="46">
        <v>20</v>
      </c>
      <c r="O350" s="162"/>
      <c r="P350" s="40" t="s">
        <v>817</v>
      </c>
      <c r="Q350" s="40">
        <v>177431801.19389999</v>
      </c>
      <c r="R350" s="40">
        <f t="shared" si="85"/>
        <v>-1564740.79</v>
      </c>
      <c r="S350" s="40">
        <v>5322954.0357999997</v>
      </c>
      <c r="T350" s="40">
        <v>0</v>
      </c>
      <c r="U350" s="40">
        <f t="shared" si="75"/>
        <v>5322954.0357999997</v>
      </c>
      <c r="V350" s="40">
        <v>52259872.784199998</v>
      </c>
      <c r="W350" s="45">
        <f t="shared" si="81"/>
        <v>233449887.22390002</v>
      </c>
    </row>
    <row r="351" spans="1:23" ht="24.9" customHeight="1">
      <c r="A351" s="151"/>
      <c r="B351" s="153"/>
      <c r="C351" s="36">
        <v>16</v>
      </c>
      <c r="D351" s="40" t="s">
        <v>818</v>
      </c>
      <c r="E351" s="40">
        <v>155243785.56569999</v>
      </c>
      <c r="F351" s="40">
        <v>0</v>
      </c>
      <c r="G351" s="40">
        <v>4657313.5669999998</v>
      </c>
      <c r="H351" s="40">
        <v>0</v>
      </c>
      <c r="I351" s="40">
        <f t="shared" si="82"/>
        <v>4657313.5669999998</v>
      </c>
      <c r="J351" s="53">
        <v>59293889.462099999</v>
      </c>
      <c r="K351" s="45">
        <f t="shared" si="80"/>
        <v>219194988.5948</v>
      </c>
      <c r="L351" s="44"/>
      <c r="M351" s="153"/>
      <c r="N351" s="46">
        <v>21</v>
      </c>
      <c r="O351" s="162"/>
      <c r="P351" s="40" t="s">
        <v>819</v>
      </c>
      <c r="Q351" s="40">
        <v>182904887.4894</v>
      </c>
      <c r="R351" s="40">
        <f t="shared" si="85"/>
        <v>-1564740.79</v>
      </c>
      <c r="S351" s="40">
        <v>5487146.6246999996</v>
      </c>
      <c r="T351" s="40">
        <v>0</v>
      </c>
      <c r="U351" s="40">
        <f t="shared" si="75"/>
        <v>5487146.6246999996</v>
      </c>
      <c r="V351" s="40">
        <v>67044871.57</v>
      </c>
      <c r="W351" s="45">
        <f t="shared" si="81"/>
        <v>253872164.89410001</v>
      </c>
    </row>
    <row r="352" spans="1:23" ht="24.9" customHeight="1">
      <c r="A352" s="151"/>
      <c r="B352" s="153"/>
      <c r="C352" s="36">
        <v>17</v>
      </c>
      <c r="D352" s="40" t="s">
        <v>820</v>
      </c>
      <c r="E352" s="40">
        <v>164277353.33199999</v>
      </c>
      <c r="F352" s="40">
        <v>0</v>
      </c>
      <c r="G352" s="40">
        <v>4928320.5999999996</v>
      </c>
      <c r="H352" s="40">
        <v>0</v>
      </c>
      <c r="I352" s="40">
        <f t="shared" si="82"/>
        <v>4928320.5999999996</v>
      </c>
      <c r="J352" s="53">
        <v>63751091.677599996</v>
      </c>
      <c r="K352" s="45">
        <f t="shared" si="80"/>
        <v>232956765.60959998</v>
      </c>
      <c r="L352" s="44"/>
      <c r="M352" s="153"/>
      <c r="N352" s="46">
        <v>22</v>
      </c>
      <c r="O352" s="162"/>
      <c r="P352" s="40" t="s">
        <v>821</v>
      </c>
      <c r="Q352" s="40">
        <v>175982922.43380001</v>
      </c>
      <c r="R352" s="40">
        <f t="shared" si="85"/>
        <v>-1564740.79</v>
      </c>
      <c r="S352" s="40">
        <v>5279487.6730000004</v>
      </c>
      <c r="T352" s="40">
        <v>0</v>
      </c>
      <c r="U352" s="40">
        <f t="shared" si="75"/>
        <v>5279487.6730000004</v>
      </c>
      <c r="V352" s="40">
        <v>64744105.729599997</v>
      </c>
      <c r="W352" s="45">
        <f t="shared" si="81"/>
        <v>244441775.04640001</v>
      </c>
    </row>
    <row r="353" spans="1:23" ht="24.9" customHeight="1">
      <c r="A353" s="151"/>
      <c r="B353" s="153"/>
      <c r="C353" s="36">
        <v>18</v>
      </c>
      <c r="D353" s="40" t="s">
        <v>822</v>
      </c>
      <c r="E353" s="40">
        <v>171338407.67559999</v>
      </c>
      <c r="F353" s="40">
        <v>0</v>
      </c>
      <c r="G353" s="40">
        <v>5140152.2302999999</v>
      </c>
      <c r="H353" s="40">
        <v>0</v>
      </c>
      <c r="I353" s="40">
        <f t="shared" si="82"/>
        <v>5140152.2302999999</v>
      </c>
      <c r="J353" s="53">
        <v>67741947.582300007</v>
      </c>
      <c r="K353" s="45">
        <f t="shared" si="80"/>
        <v>244220507.48820001</v>
      </c>
      <c r="L353" s="44"/>
      <c r="M353" s="154"/>
      <c r="N353" s="46">
        <v>23</v>
      </c>
      <c r="O353" s="163"/>
      <c r="P353" s="40" t="s">
        <v>823</v>
      </c>
      <c r="Q353" s="40">
        <v>164983951.04620001</v>
      </c>
      <c r="R353" s="40">
        <f t="shared" si="85"/>
        <v>-1564740.79</v>
      </c>
      <c r="S353" s="40">
        <v>4949518.5313999997</v>
      </c>
      <c r="T353" s="40">
        <v>0</v>
      </c>
      <c r="U353" s="40">
        <f t="shared" si="75"/>
        <v>4949518.5313999997</v>
      </c>
      <c r="V353" s="40">
        <v>58458464.487199999</v>
      </c>
      <c r="W353" s="45">
        <f t="shared" si="81"/>
        <v>226827193.2748</v>
      </c>
    </row>
    <row r="354" spans="1:23" ht="24.9" customHeight="1">
      <c r="A354" s="151"/>
      <c r="B354" s="153"/>
      <c r="C354" s="36">
        <v>19</v>
      </c>
      <c r="D354" s="40" t="s">
        <v>824</v>
      </c>
      <c r="E354" s="40">
        <v>177017691.85969999</v>
      </c>
      <c r="F354" s="40">
        <v>0</v>
      </c>
      <c r="G354" s="40">
        <v>5310530.7558000004</v>
      </c>
      <c r="H354" s="40">
        <v>0</v>
      </c>
      <c r="I354" s="40">
        <f t="shared" si="82"/>
        <v>5310530.7558000004</v>
      </c>
      <c r="J354" s="53">
        <v>65268677.4639</v>
      </c>
      <c r="K354" s="45">
        <f t="shared" si="80"/>
        <v>247596900.0794</v>
      </c>
      <c r="L354" s="44"/>
      <c r="M354" s="36"/>
      <c r="N354" s="147" t="s">
        <v>825</v>
      </c>
      <c r="O354" s="148"/>
      <c r="P354" s="41"/>
      <c r="Q354" s="41">
        <f t="shared" ref="Q354:S354" si="87">SUM(Q331:Q353)</f>
        <v>4359231419.9649</v>
      </c>
      <c r="R354" s="41">
        <f t="shared" si="87"/>
        <v>-35989038.169999987</v>
      </c>
      <c r="S354" s="41">
        <f t="shared" si="87"/>
        <v>130776942.5988</v>
      </c>
      <c r="T354" s="41">
        <f t="shared" ref="T354:W354" si="88">SUM(T331:T353)</f>
        <v>0</v>
      </c>
      <c r="U354" s="41">
        <f t="shared" si="75"/>
        <v>130776942.5988</v>
      </c>
      <c r="V354" s="41">
        <f t="shared" si="88"/>
        <v>1484321789.813</v>
      </c>
      <c r="W354" s="41">
        <f t="shared" si="88"/>
        <v>5938341114.2067013</v>
      </c>
    </row>
    <row r="355" spans="1:23" ht="24.9" customHeight="1">
      <c r="A355" s="151"/>
      <c r="B355" s="153"/>
      <c r="C355" s="36">
        <v>20</v>
      </c>
      <c r="D355" s="40" t="s">
        <v>826</v>
      </c>
      <c r="E355" s="40">
        <v>178548308.13859999</v>
      </c>
      <c r="F355" s="40">
        <v>0</v>
      </c>
      <c r="G355" s="40">
        <v>5356449.2441999996</v>
      </c>
      <c r="H355" s="40">
        <v>0</v>
      </c>
      <c r="I355" s="40">
        <f t="shared" si="82"/>
        <v>5356449.2441999996</v>
      </c>
      <c r="J355" s="53">
        <v>66172663.672700003</v>
      </c>
      <c r="K355" s="45">
        <f t="shared" si="80"/>
        <v>250077421.05549997</v>
      </c>
      <c r="L355" s="44"/>
      <c r="M355" s="152">
        <v>34</v>
      </c>
      <c r="N355" s="46">
        <v>1</v>
      </c>
      <c r="O355" s="152" t="s">
        <v>116</v>
      </c>
      <c r="P355" s="40" t="s">
        <v>827</v>
      </c>
      <c r="Q355" s="40">
        <v>163758529.9657</v>
      </c>
      <c r="R355" s="40">
        <v>0</v>
      </c>
      <c r="S355" s="40">
        <v>4912755.8990000002</v>
      </c>
      <c r="T355" s="40">
        <v>0</v>
      </c>
      <c r="U355" s="40">
        <f t="shared" si="75"/>
        <v>4912755.8990000002</v>
      </c>
      <c r="V355" s="40">
        <v>52027534.333999999</v>
      </c>
      <c r="W355" s="45">
        <f t="shared" si="81"/>
        <v>220698820.19869998</v>
      </c>
    </row>
    <row r="356" spans="1:23" ht="24.9" customHeight="1">
      <c r="A356" s="151"/>
      <c r="B356" s="153"/>
      <c r="C356" s="36">
        <v>21</v>
      </c>
      <c r="D356" s="40" t="s">
        <v>828</v>
      </c>
      <c r="E356" s="40">
        <v>167263963.83000001</v>
      </c>
      <c r="F356" s="40">
        <v>0</v>
      </c>
      <c r="G356" s="40">
        <v>5017918.9149000002</v>
      </c>
      <c r="H356" s="40">
        <v>0</v>
      </c>
      <c r="I356" s="40">
        <f t="shared" si="82"/>
        <v>5017918.9149000002</v>
      </c>
      <c r="J356" s="53">
        <v>63740326.772799999</v>
      </c>
      <c r="K356" s="45">
        <f t="shared" si="80"/>
        <v>236022209.51770002</v>
      </c>
      <c r="L356" s="44"/>
      <c r="M356" s="153"/>
      <c r="N356" s="46">
        <v>2</v>
      </c>
      <c r="O356" s="153"/>
      <c r="P356" s="40" t="s">
        <v>829</v>
      </c>
      <c r="Q356" s="40">
        <v>280228556.48909998</v>
      </c>
      <c r="R356" s="40">
        <v>0</v>
      </c>
      <c r="S356" s="40">
        <v>8406856.6947000008</v>
      </c>
      <c r="T356" s="40">
        <v>0</v>
      </c>
      <c r="U356" s="40">
        <f t="shared" si="75"/>
        <v>8406856.6947000008</v>
      </c>
      <c r="V356" s="40">
        <v>68243202.266800001</v>
      </c>
      <c r="W356" s="45">
        <f t="shared" si="81"/>
        <v>356878615.45059997</v>
      </c>
    </row>
    <row r="357" spans="1:23" ht="24.9" customHeight="1">
      <c r="A357" s="151"/>
      <c r="B357" s="153"/>
      <c r="C357" s="36">
        <v>22</v>
      </c>
      <c r="D357" s="40" t="s">
        <v>830</v>
      </c>
      <c r="E357" s="40">
        <v>153424396.07390001</v>
      </c>
      <c r="F357" s="40">
        <v>0</v>
      </c>
      <c r="G357" s="40">
        <v>4602731.8821999999</v>
      </c>
      <c r="H357" s="40">
        <v>0</v>
      </c>
      <c r="I357" s="40">
        <f t="shared" si="82"/>
        <v>4602731.8821999999</v>
      </c>
      <c r="J357" s="53">
        <v>59356086.690200001</v>
      </c>
      <c r="K357" s="45">
        <f t="shared" si="80"/>
        <v>217383214.64630002</v>
      </c>
      <c r="L357" s="44"/>
      <c r="M357" s="153"/>
      <c r="N357" s="46">
        <v>3</v>
      </c>
      <c r="O357" s="153"/>
      <c r="P357" s="40" t="s">
        <v>831</v>
      </c>
      <c r="Q357" s="40">
        <v>192465471.2816</v>
      </c>
      <c r="R357" s="40">
        <v>1E-4</v>
      </c>
      <c r="S357" s="40">
        <v>5773964.1385000004</v>
      </c>
      <c r="T357" s="40">
        <v>0</v>
      </c>
      <c r="U357" s="40">
        <f t="shared" si="75"/>
        <v>5773964.1385000004</v>
      </c>
      <c r="V357" s="40">
        <v>58299088.170000002</v>
      </c>
      <c r="W357" s="45">
        <f t="shared" si="81"/>
        <v>256538523.59020001</v>
      </c>
    </row>
    <row r="358" spans="1:23" ht="24.9" customHeight="1">
      <c r="A358" s="151"/>
      <c r="B358" s="153"/>
      <c r="C358" s="36">
        <v>23</v>
      </c>
      <c r="D358" s="40" t="s">
        <v>832</v>
      </c>
      <c r="E358" s="40">
        <v>188285256.9513</v>
      </c>
      <c r="F358" s="40">
        <v>0</v>
      </c>
      <c r="G358" s="40">
        <v>5648557.7084999997</v>
      </c>
      <c r="H358" s="40">
        <v>0</v>
      </c>
      <c r="I358" s="40">
        <f t="shared" si="82"/>
        <v>5648557.7084999997</v>
      </c>
      <c r="J358" s="53">
        <v>67808530.512400001</v>
      </c>
      <c r="K358" s="45">
        <f t="shared" si="80"/>
        <v>261742345.17219999</v>
      </c>
      <c r="L358" s="44"/>
      <c r="M358" s="153"/>
      <c r="N358" s="46">
        <v>4</v>
      </c>
      <c r="O358" s="153"/>
      <c r="P358" s="40" t="s">
        <v>833</v>
      </c>
      <c r="Q358" s="40">
        <v>229804923.71540001</v>
      </c>
      <c r="R358" s="40">
        <v>0</v>
      </c>
      <c r="S358" s="40">
        <v>6894147.7115000002</v>
      </c>
      <c r="T358" s="40">
        <v>0</v>
      </c>
      <c r="U358" s="40">
        <f t="shared" si="75"/>
        <v>6894147.7115000002</v>
      </c>
      <c r="V358" s="40">
        <v>52141828.385700002</v>
      </c>
      <c r="W358" s="45">
        <f t="shared" si="81"/>
        <v>288840899.81260002</v>
      </c>
    </row>
    <row r="359" spans="1:23" ht="24.9" customHeight="1">
      <c r="A359" s="151"/>
      <c r="B359" s="153"/>
      <c r="C359" s="36">
        <v>24</v>
      </c>
      <c r="D359" s="40" t="s">
        <v>834</v>
      </c>
      <c r="E359" s="40">
        <v>139238539.75389999</v>
      </c>
      <c r="F359" s="40">
        <v>0</v>
      </c>
      <c r="G359" s="40">
        <v>4177156.1926000002</v>
      </c>
      <c r="H359" s="40">
        <v>0</v>
      </c>
      <c r="I359" s="40">
        <f t="shared" si="82"/>
        <v>4177156.1926000002</v>
      </c>
      <c r="J359" s="53">
        <v>52630679.148999996</v>
      </c>
      <c r="K359" s="45">
        <f t="shared" si="80"/>
        <v>196046375.09549999</v>
      </c>
      <c r="L359" s="44"/>
      <c r="M359" s="153"/>
      <c r="N359" s="46">
        <v>5</v>
      </c>
      <c r="O359" s="153"/>
      <c r="P359" s="40" t="s">
        <v>835</v>
      </c>
      <c r="Q359" s="40">
        <v>248268707.60370001</v>
      </c>
      <c r="R359" s="40">
        <v>0</v>
      </c>
      <c r="S359" s="40">
        <v>7448061.2280999999</v>
      </c>
      <c r="T359" s="40">
        <v>0</v>
      </c>
      <c r="U359" s="40">
        <f t="shared" si="75"/>
        <v>7448061.2280999999</v>
      </c>
      <c r="V359" s="40">
        <v>73002885.019099995</v>
      </c>
      <c r="W359" s="45">
        <f t="shared" si="81"/>
        <v>328719653.85089999</v>
      </c>
    </row>
    <row r="360" spans="1:23" ht="24.9" customHeight="1">
      <c r="A360" s="151"/>
      <c r="B360" s="153"/>
      <c r="C360" s="36">
        <v>25</v>
      </c>
      <c r="D360" s="40" t="s">
        <v>836</v>
      </c>
      <c r="E360" s="40">
        <v>174760994.3495</v>
      </c>
      <c r="F360" s="40">
        <v>0</v>
      </c>
      <c r="G360" s="40">
        <v>5242829.8305000002</v>
      </c>
      <c r="H360" s="40">
        <v>0</v>
      </c>
      <c r="I360" s="40">
        <f t="shared" si="82"/>
        <v>5242829.8305000002</v>
      </c>
      <c r="J360" s="53">
        <v>59678369.335900001</v>
      </c>
      <c r="K360" s="45">
        <f t="shared" si="80"/>
        <v>239682193.51590002</v>
      </c>
      <c r="L360" s="44"/>
      <c r="M360" s="153"/>
      <c r="N360" s="46">
        <v>6</v>
      </c>
      <c r="O360" s="153"/>
      <c r="P360" s="40" t="s">
        <v>837</v>
      </c>
      <c r="Q360" s="40">
        <v>171988264.15529999</v>
      </c>
      <c r="R360" s="40">
        <v>0</v>
      </c>
      <c r="S360" s="40">
        <v>5159647.9247000003</v>
      </c>
      <c r="T360" s="40">
        <v>0</v>
      </c>
      <c r="U360" s="40">
        <f t="shared" si="75"/>
        <v>5159647.9247000003</v>
      </c>
      <c r="V360" s="40">
        <v>51646509.861699998</v>
      </c>
      <c r="W360" s="45">
        <f t="shared" si="81"/>
        <v>228794421.94169998</v>
      </c>
    </row>
    <row r="361" spans="1:23" ht="24.9" customHeight="1">
      <c r="A361" s="151"/>
      <c r="B361" s="153"/>
      <c r="C361" s="36">
        <v>26</v>
      </c>
      <c r="D361" s="40" t="s">
        <v>838</v>
      </c>
      <c r="E361" s="40">
        <v>158944238.63170001</v>
      </c>
      <c r="F361" s="40">
        <v>0</v>
      </c>
      <c r="G361" s="40">
        <v>4768327.1589000002</v>
      </c>
      <c r="H361" s="40">
        <v>0</v>
      </c>
      <c r="I361" s="40">
        <f t="shared" si="82"/>
        <v>4768327.1589000002</v>
      </c>
      <c r="J361" s="53">
        <v>59799042.590499997</v>
      </c>
      <c r="K361" s="45">
        <f t="shared" si="80"/>
        <v>223511608.3811</v>
      </c>
      <c r="L361" s="44"/>
      <c r="M361" s="153"/>
      <c r="N361" s="46">
        <v>7</v>
      </c>
      <c r="O361" s="153"/>
      <c r="P361" s="40" t="s">
        <v>839</v>
      </c>
      <c r="Q361" s="40">
        <v>165423146.19459999</v>
      </c>
      <c r="R361" s="40">
        <v>0</v>
      </c>
      <c r="S361" s="40">
        <v>4962694.3858000003</v>
      </c>
      <c r="T361" s="40">
        <v>0</v>
      </c>
      <c r="U361" s="40">
        <f t="shared" si="75"/>
        <v>4962694.3858000003</v>
      </c>
      <c r="V361" s="40">
        <v>59061137.114600003</v>
      </c>
      <c r="W361" s="45">
        <f t="shared" si="81"/>
        <v>229446977.69499999</v>
      </c>
    </row>
    <row r="362" spans="1:23" ht="24.9" customHeight="1">
      <c r="A362" s="151"/>
      <c r="B362" s="154"/>
      <c r="C362" s="36">
        <v>27</v>
      </c>
      <c r="D362" s="40" t="s">
        <v>840</v>
      </c>
      <c r="E362" s="40">
        <v>147281649.208</v>
      </c>
      <c r="F362" s="40">
        <v>0</v>
      </c>
      <c r="G362" s="40">
        <v>4418449.4762000004</v>
      </c>
      <c r="H362" s="40">
        <v>0</v>
      </c>
      <c r="I362" s="40">
        <f t="shared" si="82"/>
        <v>4418449.4762000004</v>
      </c>
      <c r="J362" s="53">
        <v>55014906.2271</v>
      </c>
      <c r="K362" s="45">
        <f t="shared" si="80"/>
        <v>206715004.9113</v>
      </c>
      <c r="L362" s="44"/>
      <c r="M362" s="153"/>
      <c r="N362" s="46">
        <v>8</v>
      </c>
      <c r="O362" s="153"/>
      <c r="P362" s="40" t="s">
        <v>841</v>
      </c>
      <c r="Q362" s="40">
        <v>256759345.98120001</v>
      </c>
      <c r="R362" s="40">
        <v>0</v>
      </c>
      <c r="S362" s="40">
        <v>7702780.3794</v>
      </c>
      <c r="T362" s="40">
        <v>0</v>
      </c>
      <c r="U362" s="40">
        <f t="shared" ref="U362:U412" si="89">S362-T362</f>
        <v>7702780.3794</v>
      </c>
      <c r="V362" s="40">
        <v>66503407.579999998</v>
      </c>
      <c r="W362" s="45">
        <f t="shared" si="81"/>
        <v>330965533.94059998</v>
      </c>
    </row>
    <row r="363" spans="1:23" ht="24.9" customHeight="1">
      <c r="A363" s="36"/>
      <c r="B363" s="146" t="s">
        <v>842</v>
      </c>
      <c r="C363" s="147"/>
      <c r="D363" s="41"/>
      <c r="E363" s="41">
        <f>SUM(E336:E362)</f>
        <v>4605344895.4261999</v>
      </c>
      <c r="F363" s="41">
        <f t="shared" ref="F363:G363" si="90">SUM(F336:F362)</f>
        <v>1E-4</v>
      </c>
      <c r="G363" s="41">
        <f t="shared" si="90"/>
        <v>138160346.86290002</v>
      </c>
      <c r="H363" s="40">
        <v>0</v>
      </c>
      <c r="I363" s="41">
        <f t="shared" si="82"/>
        <v>138160346.86290002</v>
      </c>
      <c r="J363" s="41">
        <f>SUM(J336:J362)</f>
        <v>1719726006.4934998</v>
      </c>
      <c r="K363" s="41">
        <f>SUM(K336:K362)</f>
        <v>6463231248.7826996</v>
      </c>
      <c r="L363" s="44"/>
      <c r="M363" s="153"/>
      <c r="N363" s="46">
        <v>9</v>
      </c>
      <c r="O363" s="153"/>
      <c r="P363" s="40" t="s">
        <v>843</v>
      </c>
      <c r="Q363" s="40">
        <v>182771386.75150001</v>
      </c>
      <c r="R363" s="40">
        <v>0</v>
      </c>
      <c r="S363" s="40">
        <v>5483141.6025</v>
      </c>
      <c r="T363" s="40">
        <v>0</v>
      </c>
      <c r="U363" s="40">
        <f t="shared" si="89"/>
        <v>5483141.6025</v>
      </c>
      <c r="V363" s="40">
        <v>52640203.611100003</v>
      </c>
      <c r="W363" s="45">
        <f t="shared" si="81"/>
        <v>240894731.96509999</v>
      </c>
    </row>
    <row r="364" spans="1:23" ht="24.9" customHeight="1">
      <c r="A364" s="151">
        <v>18</v>
      </c>
      <c r="B364" s="152" t="s">
        <v>844</v>
      </c>
      <c r="C364" s="36">
        <v>1</v>
      </c>
      <c r="D364" s="40" t="s">
        <v>845</v>
      </c>
      <c r="E364" s="40">
        <v>275753708.84850001</v>
      </c>
      <c r="F364" s="40">
        <v>0</v>
      </c>
      <c r="G364" s="40">
        <v>8272611.2654999997</v>
      </c>
      <c r="H364" s="40">
        <v>0</v>
      </c>
      <c r="I364" s="40">
        <f t="shared" si="82"/>
        <v>8272611.2654999997</v>
      </c>
      <c r="J364" s="53">
        <v>76943561.820800006</v>
      </c>
      <c r="K364" s="45">
        <f t="shared" si="80"/>
        <v>360969881.93480003</v>
      </c>
      <c r="L364" s="44"/>
      <c r="M364" s="153"/>
      <c r="N364" s="46">
        <v>10</v>
      </c>
      <c r="O364" s="153"/>
      <c r="P364" s="40" t="s">
        <v>846</v>
      </c>
      <c r="Q364" s="40">
        <v>168752403.8017</v>
      </c>
      <c r="R364" s="40">
        <v>0</v>
      </c>
      <c r="S364" s="40">
        <v>5062572.1140999999</v>
      </c>
      <c r="T364" s="40">
        <v>0</v>
      </c>
      <c r="U364" s="40">
        <f t="shared" si="89"/>
        <v>5062572.1140999999</v>
      </c>
      <c r="V364" s="40">
        <v>53312545.015100002</v>
      </c>
      <c r="W364" s="45">
        <f t="shared" si="81"/>
        <v>227127520.93090001</v>
      </c>
    </row>
    <row r="365" spans="1:23" ht="24.9" customHeight="1">
      <c r="A365" s="151"/>
      <c r="B365" s="153"/>
      <c r="C365" s="36">
        <v>2</v>
      </c>
      <c r="D365" s="40" t="s">
        <v>847</v>
      </c>
      <c r="E365" s="40">
        <v>280393634.36849999</v>
      </c>
      <c r="F365" s="40">
        <v>0</v>
      </c>
      <c r="G365" s="40">
        <v>8411809.0310999993</v>
      </c>
      <c r="H365" s="40">
        <v>0</v>
      </c>
      <c r="I365" s="40">
        <f t="shared" si="82"/>
        <v>8411809.0310999993</v>
      </c>
      <c r="J365" s="53">
        <v>92344951.085299999</v>
      </c>
      <c r="K365" s="45">
        <f t="shared" si="80"/>
        <v>381150394.4849</v>
      </c>
      <c r="L365" s="44"/>
      <c r="M365" s="153"/>
      <c r="N365" s="46">
        <v>11</v>
      </c>
      <c r="O365" s="153"/>
      <c r="P365" s="40" t="s">
        <v>848</v>
      </c>
      <c r="Q365" s="40">
        <v>251832253.7834</v>
      </c>
      <c r="R365" s="40">
        <v>0</v>
      </c>
      <c r="S365" s="40">
        <v>7554967.6135</v>
      </c>
      <c r="T365" s="40">
        <v>0</v>
      </c>
      <c r="U365" s="40">
        <f t="shared" si="89"/>
        <v>7554967.6135</v>
      </c>
      <c r="V365" s="40">
        <v>70303418.998400003</v>
      </c>
      <c r="W365" s="45">
        <f t="shared" si="81"/>
        <v>329690640.39530003</v>
      </c>
    </row>
    <row r="366" spans="1:23" ht="24.9" customHeight="1">
      <c r="A366" s="151"/>
      <c r="B366" s="153"/>
      <c r="C366" s="36">
        <v>3</v>
      </c>
      <c r="D366" s="40" t="s">
        <v>849</v>
      </c>
      <c r="E366" s="40">
        <v>232048124.0966</v>
      </c>
      <c r="F366" s="40">
        <v>0</v>
      </c>
      <c r="G366" s="40">
        <v>6961443.7229000004</v>
      </c>
      <c r="H366" s="40">
        <v>0</v>
      </c>
      <c r="I366" s="40">
        <f t="shared" si="82"/>
        <v>6961443.7229000004</v>
      </c>
      <c r="J366" s="53">
        <v>81470669.467999995</v>
      </c>
      <c r="K366" s="45">
        <f t="shared" si="80"/>
        <v>320480237.28750002</v>
      </c>
      <c r="L366" s="44"/>
      <c r="M366" s="153"/>
      <c r="N366" s="46">
        <v>12</v>
      </c>
      <c r="O366" s="153"/>
      <c r="P366" s="40" t="s">
        <v>850</v>
      </c>
      <c r="Q366" s="40">
        <v>199333370.54120001</v>
      </c>
      <c r="R366" s="40">
        <v>0</v>
      </c>
      <c r="S366" s="40">
        <v>5980001.1162</v>
      </c>
      <c r="T366" s="40">
        <v>0</v>
      </c>
      <c r="U366" s="40">
        <f t="shared" si="89"/>
        <v>5980001.1162</v>
      </c>
      <c r="V366" s="40">
        <v>58463618.444399998</v>
      </c>
      <c r="W366" s="45">
        <f t="shared" si="81"/>
        <v>263776990.10180002</v>
      </c>
    </row>
    <row r="367" spans="1:23" ht="24.9" customHeight="1">
      <c r="A367" s="151"/>
      <c r="B367" s="153"/>
      <c r="C367" s="36">
        <v>4</v>
      </c>
      <c r="D367" s="40" t="s">
        <v>851</v>
      </c>
      <c r="E367" s="40">
        <v>178673735.85800001</v>
      </c>
      <c r="F367" s="40">
        <v>0</v>
      </c>
      <c r="G367" s="40">
        <v>5360212.0756999999</v>
      </c>
      <c r="H367" s="40">
        <v>0</v>
      </c>
      <c r="I367" s="40">
        <f t="shared" si="82"/>
        <v>5360212.0756999999</v>
      </c>
      <c r="J367" s="53">
        <v>58138867.817299999</v>
      </c>
      <c r="K367" s="45">
        <f t="shared" si="80"/>
        <v>242172815.75100002</v>
      </c>
      <c r="L367" s="44"/>
      <c r="M367" s="153"/>
      <c r="N367" s="46">
        <v>13</v>
      </c>
      <c r="O367" s="153"/>
      <c r="P367" s="40" t="s">
        <v>852</v>
      </c>
      <c r="Q367" s="40">
        <v>171324372.56400001</v>
      </c>
      <c r="R367" s="40">
        <v>0</v>
      </c>
      <c r="S367" s="40">
        <v>5139731.1769000003</v>
      </c>
      <c r="T367" s="40">
        <v>0</v>
      </c>
      <c r="U367" s="40">
        <f t="shared" si="89"/>
        <v>5139731.1769000003</v>
      </c>
      <c r="V367" s="40">
        <v>55396417.957400002</v>
      </c>
      <c r="W367" s="45">
        <f t="shared" si="81"/>
        <v>231860521.6983</v>
      </c>
    </row>
    <row r="368" spans="1:23" ht="24.9" customHeight="1">
      <c r="A368" s="151"/>
      <c r="B368" s="153"/>
      <c r="C368" s="36">
        <v>5</v>
      </c>
      <c r="D368" s="40" t="s">
        <v>853</v>
      </c>
      <c r="E368" s="40">
        <v>293731555.78119999</v>
      </c>
      <c r="F368" s="40">
        <v>0</v>
      </c>
      <c r="G368" s="40">
        <v>8811946.6733999997</v>
      </c>
      <c r="H368" s="40">
        <v>0</v>
      </c>
      <c r="I368" s="40">
        <f t="shared" si="82"/>
        <v>8811946.6733999997</v>
      </c>
      <c r="J368" s="53">
        <v>100581963.9101</v>
      </c>
      <c r="K368" s="45">
        <f t="shared" si="80"/>
        <v>403125466.36469996</v>
      </c>
      <c r="L368" s="44"/>
      <c r="M368" s="153"/>
      <c r="N368" s="46">
        <v>14</v>
      </c>
      <c r="O368" s="153"/>
      <c r="P368" s="40" t="s">
        <v>854</v>
      </c>
      <c r="Q368" s="40">
        <v>245397831.75510001</v>
      </c>
      <c r="R368" s="40">
        <v>0</v>
      </c>
      <c r="S368" s="40">
        <v>7361934.9527000003</v>
      </c>
      <c r="T368" s="40">
        <v>0</v>
      </c>
      <c r="U368" s="40">
        <f t="shared" si="89"/>
        <v>7361934.9527000003</v>
      </c>
      <c r="V368" s="40">
        <v>72577206.126599997</v>
      </c>
      <c r="W368" s="45">
        <f t="shared" si="81"/>
        <v>325336972.8344</v>
      </c>
    </row>
    <row r="369" spans="1:23" ht="24.9" customHeight="1">
      <c r="A369" s="151"/>
      <c r="B369" s="153"/>
      <c r="C369" s="36">
        <v>6</v>
      </c>
      <c r="D369" s="40" t="s">
        <v>855</v>
      </c>
      <c r="E369" s="40">
        <v>196773646.3211</v>
      </c>
      <c r="F369" s="40">
        <v>0</v>
      </c>
      <c r="G369" s="40">
        <v>5903209.3896000003</v>
      </c>
      <c r="H369" s="40">
        <v>0</v>
      </c>
      <c r="I369" s="40">
        <f t="shared" si="82"/>
        <v>5903209.3896000003</v>
      </c>
      <c r="J369" s="53">
        <v>69177281.008900002</v>
      </c>
      <c r="K369" s="45">
        <f t="shared" si="80"/>
        <v>271854136.71960002</v>
      </c>
      <c r="L369" s="44"/>
      <c r="M369" s="153"/>
      <c r="N369" s="46">
        <v>15</v>
      </c>
      <c r="O369" s="153"/>
      <c r="P369" s="40" t="s">
        <v>856</v>
      </c>
      <c r="Q369" s="40">
        <v>162677485.1848</v>
      </c>
      <c r="R369" s="40">
        <v>0</v>
      </c>
      <c r="S369" s="40">
        <v>4880324.5554999998</v>
      </c>
      <c r="T369" s="40">
        <v>0</v>
      </c>
      <c r="U369" s="40">
        <f t="shared" si="89"/>
        <v>4880324.5554999998</v>
      </c>
      <c r="V369" s="40">
        <v>52358322.5836</v>
      </c>
      <c r="W369" s="45">
        <f t="shared" si="81"/>
        <v>219916132.32389998</v>
      </c>
    </row>
    <row r="370" spans="1:23" ht="24.9" customHeight="1">
      <c r="A370" s="151"/>
      <c r="B370" s="153"/>
      <c r="C370" s="36">
        <v>7</v>
      </c>
      <c r="D370" s="40" t="s">
        <v>857</v>
      </c>
      <c r="E370" s="40">
        <v>171586232.56259999</v>
      </c>
      <c r="F370" s="40">
        <v>0</v>
      </c>
      <c r="G370" s="40">
        <v>5147586.9769000001</v>
      </c>
      <c r="H370" s="40">
        <v>0</v>
      </c>
      <c r="I370" s="40">
        <f t="shared" si="82"/>
        <v>5147586.9769000001</v>
      </c>
      <c r="J370" s="53">
        <v>64054116.592200004</v>
      </c>
      <c r="K370" s="45">
        <f t="shared" si="80"/>
        <v>240787936.13170001</v>
      </c>
      <c r="L370" s="44"/>
      <c r="M370" s="154"/>
      <c r="N370" s="46">
        <v>16</v>
      </c>
      <c r="O370" s="154"/>
      <c r="P370" s="40" t="s">
        <v>858</v>
      </c>
      <c r="Q370" s="40">
        <v>176472483.57120001</v>
      </c>
      <c r="R370" s="40">
        <v>0</v>
      </c>
      <c r="S370" s="40">
        <v>5294174.5071</v>
      </c>
      <c r="T370" s="40">
        <v>0</v>
      </c>
      <c r="U370" s="40">
        <f t="shared" si="89"/>
        <v>5294174.5071</v>
      </c>
      <c r="V370" s="40">
        <v>57402278.564499997</v>
      </c>
      <c r="W370" s="45">
        <f t="shared" si="81"/>
        <v>239168936.6428</v>
      </c>
    </row>
    <row r="371" spans="1:23" ht="24.9" customHeight="1">
      <c r="A371" s="151"/>
      <c r="B371" s="153"/>
      <c r="C371" s="36">
        <v>8</v>
      </c>
      <c r="D371" s="40" t="s">
        <v>859</v>
      </c>
      <c r="E371" s="40">
        <v>228627404.6347</v>
      </c>
      <c r="F371" s="40">
        <v>0</v>
      </c>
      <c r="G371" s="40">
        <v>6858822.1390000004</v>
      </c>
      <c r="H371" s="40">
        <v>0</v>
      </c>
      <c r="I371" s="40">
        <f t="shared" si="82"/>
        <v>6858822.1390000004</v>
      </c>
      <c r="J371" s="53">
        <v>80448402.205699995</v>
      </c>
      <c r="K371" s="45">
        <f t="shared" si="80"/>
        <v>315934628.97939998</v>
      </c>
      <c r="L371" s="44"/>
      <c r="M371" s="36"/>
      <c r="N371" s="147" t="s">
        <v>860</v>
      </c>
      <c r="O371" s="148"/>
      <c r="P371" s="41"/>
      <c r="Q371" s="41">
        <f t="shared" ref="Q371:S371" si="91">SUM(Q355:Q370)</f>
        <v>3267258533.3395</v>
      </c>
      <c r="R371" s="41">
        <f t="shared" si="91"/>
        <v>1E-4</v>
      </c>
      <c r="S371" s="41">
        <f t="shared" si="91"/>
        <v>98017756.000200003</v>
      </c>
      <c r="T371" s="41">
        <f t="shared" ref="T371:W371" si="92">SUM(T355:T370)</f>
        <v>0</v>
      </c>
      <c r="U371" s="41">
        <f t="shared" si="89"/>
        <v>98017756.000200003</v>
      </c>
      <c r="V371" s="41">
        <f t="shared" si="92"/>
        <v>953379604.03299987</v>
      </c>
      <c r="W371" s="41">
        <f t="shared" si="92"/>
        <v>4318655893.3727999</v>
      </c>
    </row>
    <row r="372" spans="1:23" ht="24.9" customHeight="1">
      <c r="A372" s="151"/>
      <c r="B372" s="153"/>
      <c r="C372" s="36">
        <v>9</v>
      </c>
      <c r="D372" s="40" t="s">
        <v>861</v>
      </c>
      <c r="E372" s="40">
        <v>252199809.65529999</v>
      </c>
      <c r="F372" s="40">
        <v>0</v>
      </c>
      <c r="G372" s="40">
        <v>7565994.2896999996</v>
      </c>
      <c r="H372" s="40">
        <v>0</v>
      </c>
      <c r="I372" s="40">
        <f t="shared" si="82"/>
        <v>7565994.2896999996</v>
      </c>
      <c r="J372" s="53">
        <v>75868533.234699994</v>
      </c>
      <c r="K372" s="45">
        <f t="shared" si="80"/>
        <v>335634337.17970002</v>
      </c>
      <c r="L372" s="44"/>
      <c r="M372" s="152">
        <v>35</v>
      </c>
      <c r="N372" s="46">
        <v>1</v>
      </c>
      <c r="O372" s="37"/>
      <c r="P372" s="40" t="s">
        <v>862</v>
      </c>
      <c r="Q372" s="40">
        <v>182373817.66139999</v>
      </c>
      <c r="R372" s="40">
        <v>0</v>
      </c>
      <c r="S372" s="40">
        <v>5471214.5297999997</v>
      </c>
      <c r="T372" s="40">
        <v>0</v>
      </c>
      <c r="U372" s="40">
        <f t="shared" si="89"/>
        <v>5471214.5297999997</v>
      </c>
      <c r="V372" s="40">
        <v>61404628.548100002</v>
      </c>
      <c r="W372" s="45">
        <f t="shared" si="81"/>
        <v>249249660.73929998</v>
      </c>
    </row>
    <row r="373" spans="1:23" ht="24.9" customHeight="1">
      <c r="A373" s="151"/>
      <c r="B373" s="153"/>
      <c r="C373" s="36">
        <v>10</v>
      </c>
      <c r="D373" s="40" t="s">
        <v>863</v>
      </c>
      <c r="E373" s="40">
        <v>238253385.34709999</v>
      </c>
      <c r="F373" s="40">
        <v>0</v>
      </c>
      <c r="G373" s="40">
        <v>7147601.5603999998</v>
      </c>
      <c r="H373" s="40">
        <v>0</v>
      </c>
      <c r="I373" s="40">
        <f t="shared" si="82"/>
        <v>7147601.5603999998</v>
      </c>
      <c r="J373" s="53">
        <v>90942058.050899997</v>
      </c>
      <c r="K373" s="45">
        <f t="shared" si="80"/>
        <v>336343044.95840001</v>
      </c>
      <c r="L373" s="44"/>
      <c r="M373" s="153"/>
      <c r="N373" s="46">
        <v>2</v>
      </c>
      <c r="O373" s="152" t="s">
        <v>117</v>
      </c>
      <c r="P373" s="40" t="s">
        <v>864</v>
      </c>
      <c r="Q373" s="40">
        <v>201814684.85600001</v>
      </c>
      <c r="R373" s="40">
        <v>0</v>
      </c>
      <c r="S373" s="40">
        <v>6054440.5456999997</v>
      </c>
      <c r="T373" s="40">
        <v>0</v>
      </c>
      <c r="U373" s="40">
        <f t="shared" si="89"/>
        <v>6054440.5456999997</v>
      </c>
      <c r="V373" s="40">
        <v>57330178.505599998</v>
      </c>
      <c r="W373" s="45">
        <f t="shared" si="81"/>
        <v>265199303.90730003</v>
      </c>
    </row>
    <row r="374" spans="1:23" ht="24.9" customHeight="1">
      <c r="A374" s="151"/>
      <c r="B374" s="153"/>
      <c r="C374" s="36">
        <v>11</v>
      </c>
      <c r="D374" s="40" t="s">
        <v>865</v>
      </c>
      <c r="E374" s="40">
        <v>254372758.34119999</v>
      </c>
      <c r="F374" s="40">
        <v>0</v>
      </c>
      <c r="G374" s="40">
        <v>7631182.7501999997</v>
      </c>
      <c r="H374" s="40">
        <v>0</v>
      </c>
      <c r="I374" s="40">
        <f t="shared" si="82"/>
        <v>7631182.7501999997</v>
      </c>
      <c r="J374" s="53">
        <v>96882159.137099996</v>
      </c>
      <c r="K374" s="45">
        <f t="shared" si="80"/>
        <v>358886100.22850001</v>
      </c>
      <c r="L374" s="44"/>
      <c r="M374" s="153"/>
      <c r="N374" s="46">
        <v>3</v>
      </c>
      <c r="O374" s="153"/>
      <c r="P374" s="40" t="s">
        <v>866</v>
      </c>
      <c r="Q374" s="40">
        <v>168977397.9501</v>
      </c>
      <c r="R374" s="40">
        <v>0</v>
      </c>
      <c r="S374" s="40">
        <v>5069321.9385000002</v>
      </c>
      <c r="T374" s="40">
        <v>0</v>
      </c>
      <c r="U374" s="40">
        <f t="shared" si="89"/>
        <v>5069321.9385000002</v>
      </c>
      <c r="V374" s="40">
        <v>54524658.237000003</v>
      </c>
      <c r="W374" s="45">
        <f t="shared" si="81"/>
        <v>228571378.12559998</v>
      </c>
    </row>
    <row r="375" spans="1:23" ht="24.9" customHeight="1">
      <c r="A375" s="151"/>
      <c r="B375" s="153"/>
      <c r="C375" s="36">
        <v>12</v>
      </c>
      <c r="D375" s="40" t="s">
        <v>867</v>
      </c>
      <c r="E375" s="40">
        <v>219822340.55630001</v>
      </c>
      <c r="F375" s="40">
        <v>0</v>
      </c>
      <c r="G375" s="40">
        <v>6594670.2166999998</v>
      </c>
      <c r="H375" s="40">
        <v>0</v>
      </c>
      <c r="I375" s="40">
        <f t="shared" si="82"/>
        <v>6594670.2166999998</v>
      </c>
      <c r="J375" s="53">
        <v>75425843.134499997</v>
      </c>
      <c r="K375" s="45">
        <f t="shared" si="80"/>
        <v>301842853.90750003</v>
      </c>
      <c r="L375" s="44"/>
      <c r="M375" s="153"/>
      <c r="N375" s="46">
        <v>4</v>
      </c>
      <c r="O375" s="153"/>
      <c r="P375" s="40" t="s">
        <v>868</v>
      </c>
      <c r="Q375" s="40">
        <v>189193079.6681</v>
      </c>
      <c r="R375" s="40">
        <v>0</v>
      </c>
      <c r="S375" s="40">
        <v>5675792.3899999997</v>
      </c>
      <c r="T375" s="40">
        <v>0</v>
      </c>
      <c r="U375" s="40">
        <f t="shared" si="89"/>
        <v>5675792.3899999997</v>
      </c>
      <c r="V375" s="40">
        <v>61020946.074600004</v>
      </c>
      <c r="W375" s="45">
        <f t="shared" si="81"/>
        <v>255889818.1327</v>
      </c>
    </row>
    <row r="376" spans="1:23" ht="24.9" customHeight="1">
      <c r="A376" s="151"/>
      <c r="B376" s="153"/>
      <c r="C376" s="36">
        <v>13</v>
      </c>
      <c r="D376" s="40" t="s">
        <v>869</v>
      </c>
      <c r="E376" s="40">
        <v>190446975.14120001</v>
      </c>
      <c r="F376" s="40">
        <v>0</v>
      </c>
      <c r="G376" s="40">
        <v>5713409.2542000003</v>
      </c>
      <c r="H376" s="40">
        <v>0</v>
      </c>
      <c r="I376" s="40">
        <f t="shared" si="82"/>
        <v>5713409.2542000003</v>
      </c>
      <c r="J376" s="53">
        <v>72985266.430899993</v>
      </c>
      <c r="K376" s="45">
        <f t="shared" si="80"/>
        <v>269145650.82630002</v>
      </c>
      <c r="L376" s="44"/>
      <c r="M376" s="153"/>
      <c r="N376" s="46">
        <v>5</v>
      </c>
      <c r="O376" s="153"/>
      <c r="P376" s="40" t="s">
        <v>870</v>
      </c>
      <c r="Q376" s="40">
        <v>265357767.58649999</v>
      </c>
      <c r="R376" s="40">
        <v>0</v>
      </c>
      <c r="S376" s="40">
        <v>7960733.0275999997</v>
      </c>
      <c r="T376" s="40">
        <v>0</v>
      </c>
      <c r="U376" s="40">
        <f t="shared" si="89"/>
        <v>7960733.0275999997</v>
      </c>
      <c r="V376" s="40">
        <v>82798614.422399998</v>
      </c>
      <c r="W376" s="45">
        <f t="shared" si="81"/>
        <v>356117115.03649998</v>
      </c>
    </row>
    <row r="377" spans="1:23" ht="24.9" customHeight="1">
      <c r="A377" s="151"/>
      <c r="B377" s="153"/>
      <c r="C377" s="36">
        <v>14</v>
      </c>
      <c r="D377" s="40" t="s">
        <v>871</v>
      </c>
      <c r="E377" s="40">
        <v>196097873.8364</v>
      </c>
      <c r="F377" s="40">
        <v>0</v>
      </c>
      <c r="G377" s="40">
        <v>5882936.2150999997</v>
      </c>
      <c r="H377" s="40">
        <v>0</v>
      </c>
      <c r="I377" s="40">
        <f t="shared" si="82"/>
        <v>5882936.2150999997</v>
      </c>
      <c r="J377" s="53">
        <v>65998577.3715</v>
      </c>
      <c r="K377" s="45">
        <f t="shared" si="80"/>
        <v>267979387.42299998</v>
      </c>
      <c r="L377" s="44"/>
      <c r="M377" s="153"/>
      <c r="N377" s="46">
        <v>6</v>
      </c>
      <c r="O377" s="153"/>
      <c r="P377" s="40" t="s">
        <v>872</v>
      </c>
      <c r="Q377" s="40">
        <v>219913053.3531</v>
      </c>
      <c r="R377" s="40">
        <v>0</v>
      </c>
      <c r="S377" s="40">
        <v>6597391.6005999995</v>
      </c>
      <c r="T377" s="40">
        <v>0</v>
      </c>
      <c r="U377" s="40">
        <f t="shared" si="89"/>
        <v>6597391.6005999995</v>
      </c>
      <c r="V377" s="40">
        <v>63732107.3006</v>
      </c>
      <c r="W377" s="45">
        <f t="shared" si="81"/>
        <v>290242552.2543</v>
      </c>
    </row>
    <row r="378" spans="1:23" ht="24.9" customHeight="1">
      <c r="A378" s="151"/>
      <c r="B378" s="153"/>
      <c r="C378" s="36">
        <v>15</v>
      </c>
      <c r="D378" s="40" t="s">
        <v>873</v>
      </c>
      <c r="E378" s="40">
        <v>227002485.75310001</v>
      </c>
      <c r="F378" s="40">
        <v>0</v>
      </c>
      <c r="G378" s="40">
        <v>6810074.5725999996</v>
      </c>
      <c r="H378" s="40">
        <v>0</v>
      </c>
      <c r="I378" s="40">
        <f t="shared" si="82"/>
        <v>6810074.5725999996</v>
      </c>
      <c r="J378" s="53">
        <v>80888301.404599994</v>
      </c>
      <c r="K378" s="45">
        <f t="shared" si="80"/>
        <v>314700861.73030001</v>
      </c>
      <c r="L378" s="44"/>
      <c r="M378" s="153"/>
      <c r="N378" s="46">
        <v>7</v>
      </c>
      <c r="O378" s="153"/>
      <c r="P378" s="40" t="s">
        <v>874</v>
      </c>
      <c r="Q378" s="40">
        <v>202467389.83270001</v>
      </c>
      <c r="R378" s="40">
        <v>0</v>
      </c>
      <c r="S378" s="40">
        <v>6074021.6950000003</v>
      </c>
      <c r="T378" s="40">
        <v>0</v>
      </c>
      <c r="U378" s="40">
        <f t="shared" si="89"/>
        <v>6074021.6950000003</v>
      </c>
      <c r="V378" s="40">
        <v>60116295.365500003</v>
      </c>
      <c r="W378" s="45">
        <f t="shared" si="81"/>
        <v>268657706.89320004</v>
      </c>
    </row>
    <row r="379" spans="1:23" ht="24.9" customHeight="1">
      <c r="A379" s="151"/>
      <c r="B379" s="153"/>
      <c r="C379" s="36">
        <v>16</v>
      </c>
      <c r="D379" s="40" t="s">
        <v>875</v>
      </c>
      <c r="E379" s="40">
        <v>176070744.7247</v>
      </c>
      <c r="F379" s="40">
        <v>0</v>
      </c>
      <c r="G379" s="40">
        <v>5282122.3416999998</v>
      </c>
      <c r="H379" s="40">
        <v>0</v>
      </c>
      <c r="I379" s="40">
        <f t="shared" si="82"/>
        <v>5282122.3416999998</v>
      </c>
      <c r="J379" s="53">
        <v>61876549.107500002</v>
      </c>
      <c r="K379" s="45">
        <f t="shared" si="80"/>
        <v>243229416.17390001</v>
      </c>
      <c r="L379" s="44"/>
      <c r="M379" s="153"/>
      <c r="N379" s="46">
        <v>8</v>
      </c>
      <c r="O379" s="153"/>
      <c r="P379" s="40" t="s">
        <v>876</v>
      </c>
      <c r="Q379" s="40">
        <v>175902632.98500001</v>
      </c>
      <c r="R379" s="40">
        <v>0</v>
      </c>
      <c r="S379" s="40">
        <v>5277078.9895000001</v>
      </c>
      <c r="T379" s="40">
        <v>0</v>
      </c>
      <c r="U379" s="40">
        <f t="shared" si="89"/>
        <v>5277078.9895000001</v>
      </c>
      <c r="V379" s="40">
        <v>56584077.5682</v>
      </c>
      <c r="W379" s="45">
        <f t="shared" si="81"/>
        <v>237763789.54269999</v>
      </c>
    </row>
    <row r="380" spans="1:23" ht="24.9" customHeight="1">
      <c r="A380" s="151"/>
      <c r="B380" s="153"/>
      <c r="C380" s="36">
        <v>17</v>
      </c>
      <c r="D380" s="40" t="s">
        <v>877</v>
      </c>
      <c r="E380" s="40">
        <v>244988890.90380001</v>
      </c>
      <c r="F380" s="40">
        <v>0</v>
      </c>
      <c r="G380" s="40">
        <v>7349666.7270999998</v>
      </c>
      <c r="H380" s="40">
        <v>0</v>
      </c>
      <c r="I380" s="40">
        <f t="shared" si="82"/>
        <v>7349666.7270999998</v>
      </c>
      <c r="J380" s="53">
        <v>87415820.756400004</v>
      </c>
      <c r="K380" s="45">
        <f t="shared" si="80"/>
        <v>339754378.38730001</v>
      </c>
      <c r="L380" s="44"/>
      <c r="M380" s="153"/>
      <c r="N380" s="46">
        <v>9</v>
      </c>
      <c r="O380" s="153"/>
      <c r="P380" s="40" t="s">
        <v>878</v>
      </c>
      <c r="Q380" s="40">
        <v>231987426.9596</v>
      </c>
      <c r="R380" s="40">
        <v>0</v>
      </c>
      <c r="S380" s="40">
        <v>6959622.8087999998</v>
      </c>
      <c r="T380" s="40">
        <v>0</v>
      </c>
      <c r="U380" s="40">
        <f t="shared" si="89"/>
        <v>6959622.8087999998</v>
      </c>
      <c r="V380" s="40">
        <v>73272736.814799994</v>
      </c>
      <c r="W380" s="45">
        <f t="shared" si="81"/>
        <v>312219786.58319998</v>
      </c>
    </row>
    <row r="381" spans="1:23" ht="24.9" customHeight="1">
      <c r="A381" s="151"/>
      <c r="B381" s="153"/>
      <c r="C381" s="36">
        <v>18</v>
      </c>
      <c r="D381" s="40" t="s">
        <v>879</v>
      </c>
      <c r="E381" s="40">
        <v>164782986.95469999</v>
      </c>
      <c r="F381" s="40">
        <v>0</v>
      </c>
      <c r="G381" s="40">
        <v>4943489.6085999999</v>
      </c>
      <c r="H381" s="40">
        <v>0</v>
      </c>
      <c r="I381" s="40">
        <f t="shared" si="82"/>
        <v>4943489.6085999999</v>
      </c>
      <c r="J381" s="53">
        <v>62842333.8442</v>
      </c>
      <c r="K381" s="45">
        <f t="shared" si="80"/>
        <v>232568810.40749997</v>
      </c>
      <c r="L381" s="44"/>
      <c r="M381" s="153"/>
      <c r="N381" s="46">
        <v>10</v>
      </c>
      <c r="O381" s="153"/>
      <c r="P381" s="40" t="s">
        <v>880</v>
      </c>
      <c r="Q381" s="40">
        <v>163610197.99309999</v>
      </c>
      <c r="R381" s="40">
        <v>0</v>
      </c>
      <c r="S381" s="40">
        <v>4908305.9397999998</v>
      </c>
      <c r="T381" s="40">
        <v>0</v>
      </c>
      <c r="U381" s="40">
        <f t="shared" si="89"/>
        <v>4908305.9397999998</v>
      </c>
      <c r="V381" s="40">
        <v>57046835.577500001</v>
      </c>
      <c r="W381" s="45">
        <f t="shared" si="81"/>
        <v>225565339.5104</v>
      </c>
    </row>
    <row r="382" spans="1:23" ht="24.9" customHeight="1">
      <c r="A382" s="151"/>
      <c r="B382" s="153"/>
      <c r="C382" s="36">
        <v>19</v>
      </c>
      <c r="D382" s="40" t="s">
        <v>881</v>
      </c>
      <c r="E382" s="40">
        <v>217430941.11070001</v>
      </c>
      <c r="F382" s="40">
        <v>0</v>
      </c>
      <c r="G382" s="40">
        <v>6522928.2333000004</v>
      </c>
      <c r="H382" s="40">
        <v>0</v>
      </c>
      <c r="I382" s="40">
        <f t="shared" si="82"/>
        <v>6522928.2333000004</v>
      </c>
      <c r="J382" s="53">
        <v>81529677.094699994</v>
      </c>
      <c r="K382" s="45">
        <f t="shared" si="80"/>
        <v>305483546.43870002</v>
      </c>
      <c r="L382" s="44"/>
      <c r="M382" s="153"/>
      <c r="N382" s="46">
        <v>11</v>
      </c>
      <c r="O382" s="153"/>
      <c r="P382" s="40" t="s">
        <v>882</v>
      </c>
      <c r="Q382" s="40">
        <v>156712556.77790001</v>
      </c>
      <c r="R382" s="40">
        <v>0</v>
      </c>
      <c r="S382" s="40">
        <v>4701376.7033000002</v>
      </c>
      <c r="T382" s="40">
        <v>0</v>
      </c>
      <c r="U382" s="40">
        <f t="shared" si="89"/>
        <v>4701376.7033000002</v>
      </c>
      <c r="V382" s="40">
        <v>51015033.449900001</v>
      </c>
      <c r="W382" s="45">
        <f t="shared" si="81"/>
        <v>212428966.93110001</v>
      </c>
    </row>
    <row r="383" spans="1:23" ht="24.9" customHeight="1">
      <c r="A383" s="151"/>
      <c r="B383" s="153"/>
      <c r="C383" s="36">
        <v>20</v>
      </c>
      <c r="D383" s="40" t="s">
        <v>883</v>
      </c>
      <c r="E383" s="40">
        <v>182299985.93869999</v>
      </c>
      <c r="F383" s="40">
        <v>0</v>
      </c>
      <c r="G383" s="40">
        <v>5468999.5782000003</v>
      </c>
      <c r="H383" s="40">
        <v>0</v>
      </c>
      <c r="I383" s="40">
        <f t="shared" si="82"/>
        <v>5468999.5782000003</v>
      </c>
      <c r="J383" s="53">
        <v>63250868.629000001</v>
      </c>
      <c r="K383" s="45">
        <f t="shared" si="80"/>
        <v>251019854.14590001</v>
      </c>
      <c r="L383" s="44"/>
      <c r="M383" s="153"/>
      <c r="N383" s="46">
        <v>12</v>
      </c>
      <c r="O383" s="153"/>
      <c r="P383" s="40" t="s">
        <v>884</v>
      </c>
      <c r="Q383" s="40">
        <v>168019826.38820001</v>
      </c>
      <c r="R383" s="40">
        <v>0</v>
      </c>
      <c r="S383" s="40">
        <v>5040594.7916000001</v>
      </c>
      <c r="T383" s="40">
        <v>0</v>
      </c>
      <c r="U383" s="40">
        <f t="shared" si="89"/>
        <v>5040594.7916000001</v>
      </c>
      <c r="V383" s="40">
        <v>54499274.325499997</v>
      </c>
      <c r="W383" s="45">
        <f t="shared" si="81"/>
        <v>227559695.50529999</v>
      </c>
    </row>
    <row r="384" spans="1:23" ht="24.9" customHeight="1">
      <c r="A384" s="151"/>
      <c r="B384" s="153"/>
      <c r="C384" s="36">
        <v>21</v>
      </c>
      <c r="D384" s="40" t="s">
        <v>885</v>
      </c>
      <c r="E384" s="40">
        <v>232365979.56720001</v>
      </c>
      <c r="F384" s="40">
        <v>0</v>
      </c>
      <c r="G384" s="40">
        <v>6970979.3870000001</v>
      </c>
      <c r="H384" s="40">
        <v>0</v>
      </c>
      <c r="I384" s="40">
        <f t="shared" si="82"/>
        <v>6970979.3870000001</v>
      </c>
      <c r="J384" s="53">
        <v>82380104.5792</v>
      </c>
      <c r="K384" s="45">
        <f t="shared" si="80"/>
        <v>321717063.5334</v>
      </c>
      <c r="L384" s="44"/>
      <c r="M384" s="153"/>
      <c r="N384" s="46">
        <v>13</v>
      </c>
      <c r="O384" s="153"/>
      <c r="P384" s="40" t="s">
        <v>886</v>
      </c>
      <c r="Q384" s="40">
        <v>182741433.43110001</v>
      </c>
      <c r="R384" s="40">
        <v>0</v>
      </c>
      <c r="S384" s="40">
        <v>5482243.0028999997</v>
      </c>
      <c r="T384" s="40">
        <v>0</v>
      </c>
      <c r="U384" s="40">
        <f t="shared" si="89"/>
        <v>5482243.0028999997</v>
      </c>
      <c r="V384" s="40">
        <v>62846594.200099997</v>
      </c>
      <c r="W384" s="45">
        <f t="shared" si="81"/>
        <v>251070270.63410002</v>
      </c>
    </row>
    <row r="385" spans="1:23" ht="24.9" customHeight="1">
      <c r="A385" s="151"/>
      <c r="B385" s="153"/>
      <c r="C385" s="36">
        <v>22</v>
      </c>
      <c r="D385" s="40" t="s">
        <v>887</v>
      </c>
      <c r="E385" s="40">
        <v>259970684.8407</v>
      </c>
      <c r="F385" s="40">
        <v>0</v>
      </c>
      <c r="G385" s="40">
        <v>7799120.5451999996</v>
      </c>
      <c r="H385" s="40">
        <v>0</v>
      </c>
      <c r="I385" s="40">
        <f t="shared" si="82"/>
        <v>7799120.5451999996</v>
      </c>
      <c r="J385" s="53">
        <v>85450095.967500001</v>
      </c>
      <c r="K385" s="45">
        <f t="shared" si="80"/>
        <v>353219901.35339999</v>
      </c>
      <c r="L385" s="44"/>
      <c r="M385" s="153"/>
      <c r="N385" s="46">
        <v>14</v>
      </c>
      <c r="O385" s="153"/>
      <c r="P385" s="40" t="s">
        <v>888</v>
      </c>
      <c r="Q385" s="40">
        <v>201086159.0733</v>
      </c>
      <c r="R385" s="40">
        <v>0</v>
      </c>
      <c r="S385" s="40">
        <v>6032584.7721999995</v>
      </c>
      <c r="T385" s="40">
        <v>0</v>
      </c>
      <c r="U385" s="40">
        <f t="shared" si="89"/>
        <v>6032584.7721999995</v>
      </c>
      <c r="V385" s="40">
        <v>70188525.120199993</v>
      </c>
      <c r="W385" s="45">
        <f t="shared" si="81"/>
        <v>277307268.96569997</v>
      </c>
    </row>
    <row r="386" spans="1:23" ht="24.9" customHeight="1">
      <c r="A386" s="151"/>
      <c r="B386" s="154"/>
      <c r="C386" s="36">
        <v>23</v>
      </c>
      <c r="D386" s="40" t="s">
        <v>889</v>
      </c>
      <c r="E386" s="40">
        <v>265452530.04280001</v>
      </c>
      <c r="F386" s="40">
        <v>0</v>
      </c>
      <c r="G386" s="40">
        <v>7963575.9013</v>
      </c>
      <c r="H386" s="40">
        <v>0</v>
      </c>
      <c r="I386" s="40">
        <f t="shared" si="82"/>
        <v>7963575.9013</v>
      </c>
      <c r="J386" s="53">
        <v>97654042.686100006</v>
      </c>
      <c r="K386" s="45">
        <f t="shared" si="80"/>
        <v>371070148.63020003</v>
      </c>
      <c r="L386" s="44"/>
      <c r="M386" s="153"/>
      <c r="N386" s="46">
        <v>15</v>
      </c>
      <c r="O386" s="153"/>
      <c r="P386" s="40" t="s">
        <v>890</v>
      </c>
      <c r="Q386" s="40">
        <v>186505401.3583</v>
      </c>
      <c r="R386" s="40">
        <v>0</v>
      </c>
      <c r="S386" s="40">
        <v>5595162.0406999998</v>
      </c>
      <c r="T386" s="40">
        <v>0</v>
      </c>
      <c r="U386" s="40">
        <f t="shared" si="89"/>
        <v>5595162.0406999998</v>
      </c>
      <c r="V386" s="40">
        <v>53088008.587300003</v>
      </c>
      <c r="W386" s="45">
        <f t="shared" si="81"/>
        <v>245188571.98629999</v>
      </c>
    </row>
    <row r="387" spans="1:23" ht="24.9" customHeight="1">
      <c r="A387" s="36"/>
      <c r="B387" s="146" t="s">
        <v>891</v>
      </c>
      <c r="C387" s="147"/>
      <c r="D387" s="41"/>
      <c r="E387" s="41">
        <f>SUM(E364:E386)</f>
        <v>5179146415.1850996</v>
      </c>
      <c r="F387" s="41">
        <f t="shared" ref="F387:G387" si="93">SUM(F364:F386)</f>
        <v>0</v>
      </c>
      <c r="G387" s="41">
        <f t="shared" si="93"/>
        <v>155374392.45540002</v>
      </c>
      <c r="H387" s="40">
        <v>0</v>
      </c>
      <c r="I387" s="41">
        <f t="shared" si="82"/>
        <v>155374392.45540002</v>
      </c>
      <c r="J387" s="41">
        <f>SUM(J364:J386)</f>
        <v>1804550045.3371</v>
      </c>
      <c r="K387" s="41">
        <f>SUM(K364:K386)</f>
        <v>7139070852.9775982</v>
      </c>
      <c r="L387" s="60"/>
      <c r="M387" s="153"/>
      <c r="N387" s="46">
        <v>16</v>
      </c>
      <c r="O387" s="153"/>
      <c r="P387" s="40" t="s">
        <v>892</v>
      </c>
      <c r="Q387" s="40">
        <v>194370593.9691</v>
      </c>
      <c r="R387" s="40">
        <v>0</v>
      </c>
      <c r="S387" s="40">
        <v>5831117.8191</v>
      </c>
      <c r="T387" s="40">
        <v>0</v>
      </c>
      <c r="U387" s="40">
        <f t="shared" si="89"/>
        <v>5831117.8191</v>
      </c>
      <c r="V387" s="40">
        <v>59549210.809100002</v>
      </c>
      <c r="W387" s="45">
        <f t="shared" si="81"/>
        <v>259750922.59729999</v>
      </c>
    </row>
    <row r="388" spans="1:23" ht="24.9" customHeight="1">
      <c r="A388" s="151">
        <v>19</v>
      </c>
      <c r="B388" s="152" t="s">
        <v>101</v>
      </c>
      <c r="C388" s="36">
        <v>1</v>
      </c>
      <c r="D388" s="40" t="s">
        <v>893</v>
      </c>
      <c r="E388" s="40">
        <v>170346229.60170001</v>
      </c>
      <c r="F388" s="40">
        <f t="shared" ref="F388:F412" si="94">-11651464.66</f>
        <v>-11651464.66</v>
      </c>
      <c r="G388" s="40">
        <v>5110386.8881000001</v>
      </c>
      <c r="H388" s="40">
        <v>0</v>
      </c>
      <c r="I388" s="40">
        <f t="shared" si="82"/>
        <v>5110386.8881000001</v>
      </c>
      <c r="J388" s="53">
        <v>70239922.221799999</v>
      </c>
      <c r="K388" s="45">
        <f t="shared" si="80"/>
        <v>234045074.05160001</v>
      </c>
      <c r="L388" s="44"/>
      <c r="M388" s="154"/>
      <c r="N388" s="46">
        <v>17</v>
      </c>
      <c r="O388" s="154"/>
      <c r="P388" s="40" t="s">
        <v>894</v>
      </c>
      <c r="Q388" s="40">
        <v>193908701.43979999</v>
      </c>
      <c r="R388" s="40">
        <v>0</v>
      </c>
      <c r="S388" s="40">
        <v>5817261.0432000002</v>
      </c>
      <c r="T388" s="40">
        <v>0</v>
      </c>
      <c r="U388" s="40">
        <f t="shared" si="89"/>
        <v>5817261.0432000002</v>
      </c>
      <c r="V388" s="40">
        <v>57590928.423500001</v>
      </c>
      <c r="W388" s="45">
        <f t="shared" si="81"/>
        <v>257316890.90649998</v>
      </c>
    </row>
    <row r="389" spans="1:23" ht="24.9" customHeight="1">
      <c r="A389" s="151"/>
      <c r="B389" s="153"/>
      <c r="C389" s="36">
        <v>2</v>
      </c>
      <c r="D389" s="40" t="s">
        <v>895</v>
      </c>
      <c r="E389" s="40">
        <v>174479306.9325</v>
      </c>
      <c r="F389" s="40">
        <f t="shared" si="94"/>
        <v>-11651464.66</v>
      </c>
      <c r="G389" s="40">
        <v>5234379.2079999996</v>
      </c>
      <c r="H389" s="40">
        <v>0</v>
      </c>
      <c r="I389" s="40">
        <f t="shared" si="82"/>
        <v>5234379.2079999996</v>
      </c>
      <c r="J389" s="53">
        <v>72368449.584299996</v>
      </c>
      <c r="K389" s="45">
        <f t="shared" si="80"/>
        <v>240430671.06480002</v>
      </c>
      <c r="L389" s="44"/>
      <c r="M389" s="36"/>
      <c r="N389" s="147"/>
      <c r="O389" s="148"/>
      <c r="P389" s="41"/>
      <c r="Q389" s="41">
        <f t="shared" ref="Q389:S389" si="95">SUM(Q372:Q388)</f>
        <v>3284942121.2832994</v>
      </c>
      <c r="R389" s="41">
        <f t="shared" si="95"/>
        <v>0</v>
      </c>
      <c r="S389" s="41">
        <f t="shared" si="95"/>
        <v>98548263.638300017</v>
      </c>
      <c r="T389" s="41">
        <f t="shared" ref="T389" si="96">SUM(T372:T388)</f>
        <v>0</v>
      </c>
      <c r="U389" s="41">
        <f t="shared" si="89"/>
        <v>98548263.638300017</v>
      </c>
      <c r="V389" s="41">
        <f>SUM(V372:V388)</f>
        <v>1036608653.3299</v>
      </c>
      <c r="W389" s="41">
        <f>SUM(W372:W388)</f>
        <v>4420099038.2515001</v>
      </c>
    </row>
    <row r="390" spans="1:23" ht="24.9" customHeight="1">
      <c r="A390" s="151"/>
      <c r="B390" s="153"/>
      <c r="C390" s="36">
        <v>3</v>
      </c>
      <c r="D390" s="40" t="s">
        <v>896</v>
      </c>
      <c r="E390" s="40">
        <v>159090752.79229999</v>
      </c>
      <c r="F390" s="40">
        <f t="shared" si="94"/>
        <v>-11651464.66</v>
      </c>
      <c r="G390" s="40">
        <v>4772722.5838000001</v>
      </c>
      <c r="H390" s="40">
        <v>0</v>
      </c>
      <c r="I390" s="40">
        <f t="shared" si="82"/>
        <v>4772722.5838000001</v>
      </c>
      <c r="J390" s="53">
        <v>68739480.543300003</v>
      </c>
      <c r="K390" s="45">
        <f t="shared" si="80"/>
        <v>220951491.25939998</v>
      </c>
      <c r="L390" s="44"/>
      <c r="M390" s="152">
        <v>36</v>
      </c>
      <c r="N390" s="46">
        <v>1</v>
      </c>
      <c r="O390" s="152" t="s">
        <v>118</v>
      </c>
      <c r="P390" s="40" t="s">
        <v>897</v>
      </c>
      <c r="Q390" s="40">
        <v>182520525.25940001</v>
      </c>
      <c r="R390" s="40">
        <v>0</v>
      </c>
      <c r="S390" s="40">
        <v>5475615.7577999998</v>
      </c>
      <c r="T390" s="40">
        <v>0</v>
      </c>
      <c r="U390" s="40">
        <f t="shared" si="89"/>
        <v>5475615.7577999998</v>
      </c>
      <c r="V390" s="40">
        <v>59475716.792800002</v>
      </c>
      <c r="W390" s="45">
        <f t="shared" si="81"/>
        <v>247471857.81000003</v>
      </c>
    </row>
    <row r="391" spans="1:23" ht="24.9" customHeight="1">
      <c r="A391" s="151"/>
      <c r="B391" s="153"/>
      <c r="C391" s="36">
        <v>4</v>
      </c>
      <c r="D391" s="40" t="s">
        <v>898</v>
      </c>
      <c r="E391" s="40">
        <v>172591472.60159999</v>
      </c>
      <c r="F391" s="40">
        <f t="shared" si="94"/>
        <v>-11651464.66</v>
      </c>
      <c r="G391" s="40">
        <v>5177744.1780000003</v>
      </c>
      <c r="H391" s="40">
        <v>0</v>
      </c>
      <c r="I391" s="40">
        <f t="shared" si="82"/>
        <v>5177744.1780000003</v>
      </c>
      <c r="J391" s="53">
        <v>72196476.906499997</v>
      </c>
      <c r="K391" s="45">
        <f t="shared" si="80"/>
        <v>238314229.02609998</v>
      </c>
      <c r="L391" s="44"/>
      <c r="M391" s="153"/>
      <c r="N391" s="46">
        <v>2</v>
      </c>
      <c r="O391" s="153"/>
      <c r="P391" s="40" t="s">
        <v>899</v>
      </c>
      <c r="Q391" s="40">
        <v>176725486.45300001</v>
      </c>
      <c r="R391" s="40">
        <v>0</v>
      </c>
      <c r="S391" s="40">
        <v>5301764.5936000003</v>
      </c>
      <c r="T391" s="40">
        <v>0</v>
      </c>
      <c r="U391" s="40">
        <f t="shared" si="89"/>
        <v>5301764.5936000003</v>
      </c>
      <c r="V391" s="40">
        <v>65406381.974600002</v>
      </c>
      <c r="W391" s="45">
        <f t="shared" si="81"/>
        <v>247433633.0212</v>
      </c>
    </row>
    <row r="392" spans="1:23" ht="24.9" customHeight="1">
      <c r="A392" s="151"/>
      <c r="B392" s="153"/>
      <c r="C392" s="36">
        <v>5</v>
      </c>
      <c r="D392" s="40" t="s">
        <v>900</v>
      </c>
      <c r="E392" s="40">
        <v>209186546.35769999</v>
      </c>
      <c r="F392" s="40">
        <f t="shared" si="94"/>
        <v>-11651464.66</v>
      </c>
      <c r="G392" s="40">
        <v>6275596.3907000003</v>
      </c>
      <c r="H392" s="40">
        <v>0</v>
      </c>
      <c r="I392" s="40">
        <f t="shared" si="82"/>
        <v>6275596.3907000003</v>
      </c>
      <c r="J392" s="53">
        <v>83923578.2095</v>
      </c>
      <c r="K392" s="45">
        <f t="shared" ref="K392:K413" si="97">E392+F392+G392-H392+J392</f>
        <v>287734256.29790002</v>
      </c>
      <c r="L392" s="44"/>
      <c r="M392" s="153"/>
      <c r="N392" s="46">
        <v>3</v>
      </c>
      <c r="O392" s="153"/>
      <c r="P392" s="40" t="s">
        <v>901</v>
      </c>
      <c r="Q392" s="40">
        <v>208565021.1956</v>
      </c>
      <c r="R392" s="40">
        <v>0</v>
      </c>
      <c r="S392" s="40">
        <v>6256950.6359000001</v>
      </c>
      <c r="T392" s="40">
        <v>0</v>
      </c>
      <c r="U392" s="40">
        <f t="shared" si="89"/>
        <v>6256950.6359000001</v>
      </c>
      <c r="V392" s="40">
        <v>68692734.660699993</v>
      </c>
      <c r="W392" s="45">
        <f t="shared" ref="W392:W410" si="98">Q392+R392+S392-T392+V392</f>
        <v>283514706.49220002</v>
      </c>
    </row>
    <row r="393" spans="1:23" ht="24.9" customHeight="1">
      <c r="A393" s="151"/>
      <c r="B393" s="153"/>
      <c r="C393" s="36">
        <v>6</v>
      </c>
      <c r="D393" s="40" t="s">
        <v>902</v>
      </c>
      <c r="E393" s="40">
        <v>166659950.5106</v>
      </c>
      <c r="F393" s="40">
        <f t="shared" si="94"/>
        <v>-11651464.66</v>
      </c>
      <c r="G393" s="40">
        <v>4999798.5153000001</v>
      </c>
      <c r="H393" s="40">
        <v>0</v>
      </c>
      <c r="I393" s="40">
        <f t="shared" si="82"/>
        <v>4999798.5153000001</v>
      </c>
      <c r="J393" s="53">
        <v>69808528.626699999</v>
      </c>
      <c r="K393" s="45">
        <f t="shared" si="97"/>
        <v>229816812.99260002</v>
      </c>
      <c r="L393" s="44"/>
      <c r="M393" s="153"/>
      <c r="N393" s="46">
        <v>4</v>
      </c>
      <c r="O393" s="153"/>
      <c r="P393" s="40" t="s">
        <v>903</v>
      </c>
      <c r="Q393" s="40">
        <v>230194937.6866</v>
      </c>
      <c r="R393" s="40">
        <v>0</v>
      </c>
      <c r="S393" s="40">
        <v>6905848.1305999998</v>
      </c>
      <c r="T393" s="40">
        <v>0</v>
      </c>
      <c r="U393" s="40">
        <f t="shared" si="89"/>
        <v>6905848.1305999998</v>
      </c>
      <c r="V393" s="40">
        <v>74843881.042300001</v>
      </c>
      <c r="W393" s="45">
        <f t="shared" si="98"/>
        <v>311944666.85949999</v>
      </c>
    </row>
    <row r="394" spans="1:23" ht="24.9" customHeight="1">
      <c r="A394" s="151"/>
      <c r="B394" s="153"/>
      <c r="C394" s="36">
        <v>7</v>
      </c>
      <c r="D394" s="40" t="s">
        <v>904</v>
      </c>
      <c r="E394" s="40">
        <v>269007287.64459997</v>
      </c>
      <c r="F394" s="40">
        <f t="shared" si="94"/>
        <v>-11651464.66</v>
      </c>
      <c r="G394" s="40">
        <v>8070218.6293000001</v>
      </c>
      <c r="H394" s="40">
        <v>0</v>
      </c>
      <c r="I394" s="40">
        <f t="shared" ref="I394:I413" si="99">G394-H394</f>
        <v>8070218.6293000001</v>
      </c>
      <c r="J394" s="53">
        <v>102752592.92399999</v>
      </c>
      <c r="K394" s="45">
        <f t="shared" si="97"/>
        <v>368178634.53789997</v>
      </c>
      <c r="L394" s="44"/>
      <c r="M394" s="153"/>
      <c r="N394" s="46">
        <v>5</v>
      </c>
      <c r="O394" s="153"/>
      <c r="P394" s="40" t="s">
        <v>905</v>
      </c>
      <c r="Q394" s="40">
        <v>200360160.98249999</v>
      </c>
      <c r="R394" s="40">
        <v>0</v>
      </c>
      <c r="S394" s="40">
        <v>6010804.8295</v>
      </c>
      <c r="T394" s="40">
        <v>0</v>
      </c>
      <c r="U394" s="40">
        <f t="shared" si="89"/>
        <v>6010804.8295</v>
      </c>
      <c r="V394" s="40">
        <v>67749941.634399995</v>
      </c>
      <c r="W394" s="45">
        <f t="shared" si="98"/>
        <v>274120907.44639999</v>
      </c>
    </row>
    <row r="395" spans="1:23" ht="24.9" customHeight="1">
      <c r="A395" s="151"/>
      <c r="B395" s="153"/>
      <c r="C395" s="36">
        <v>8</v>
      </c>
      <c r="D395" s="40" t="s">
        <v>906</v>
      </c>
      <c r="E395" s="40">
        <v>183278911.79929999</v>
      </c>
      <c r="F395" s="40">
        <f t="shared" si="94"/>
        <v>-11651464.66</v>
      </c>
      <c r="G395" s="40">
        <v>5498367.3540000003</v>
      </c>
      <c r="H395" s="40">
        <v>0</v>
      </c>
      <c r="I395" s="40">
        <f t="shared" si="99"/>
        <v>5498367.3540000003</v>
      </c>
      <c r="J395" s="53">
        <v>74736064.154899999</v>
      </c>
      <c r="K395" s="45">
        <f t="shared" si="97"/>
        <v>251861878.64819998</v>
      </c>
      <c r="L395" s="44"/>
      <c r="M395" s="153"/>
      <c r="N395" s="46">
        <v>6</v>
      </c>
      <c r="O395" s="153"/>
      <c r="P395" s="40" t="s">
        <v>907</v>
      </c>
      <c r="Q395" s="40">
        <v>278211627.72600001</v>
      </c>
      <c r="R395" s="40">
        <v>0</v>
      </c>
      <c r="S395" s="40">
        <v>8346348.8317999998</v>
      </c>
      <c r="T395" s="40">
        <v>0</v>
      </c>
      <c r="U395" s="40">
        <f t="shared" si="89"/>
        <v>8346348.8317999998</v>
      </c>
      <c r="V395" s="40">
        <v>91488949.069199994</v>
      </c>
      <c r="W395" s="45">
        <f t="shared" si="98"/>
        <v>378046925.62699997</v>
      </c>
    </row>
    <row r="396" spans="1:23" ht="24.9" customHeight="1">
      <c r="A396" s="151"/>
      <c r="B396" s="153"/>
      <c r="C396" s="36">
        <v>9</v>
      </c>
      <c r="D396" s="40" t="s">
        <v>908</v>
      </c>
      <c r="E396" s="40">
        <v>197017715.7967</v>
      </c>
      <c r="F396" s="40">
        <f t="shared" si="94"/>
        <v>-11651464.66</v>
      </c>
      <c r="G396" s="40">
        <v>5910531.4738999996</v>
      </c>
      <c r="H396" s="40">
        <v>0</v>
      </c>
      <c r="I396" s="40">
        <f t="shared" si="99"/>
        <v>5910531.4738999996</v>
      </c>
      <c r="J396" s="53">
        <v>77051316.101899996</v>
      </c>
      <c r="K396" s="45">
        <f t="shared" si="97"/>
        <v>268328098.71249998</v>
      </c>
      <c r="L396" s="44"/>
      <c r="M396" s="153"/>
      <c r="N396" s="46">
        <v>7</v>
      </c>
      <c r="O396" s="153"/>
      <c r="P396" s="40" t="s">
        <v>909</v>
      </c>
      <c r="Q396" s="40">
        <v>211289661.28850001</v>
      </c>
      <c r="R396" s="40">
        <v>0</v>
      </c>
      <c r="S396" s="40">
        <v>6338689.8387000002</v>
      </c>
      <c r="T396" s="40">
        <v>0</v>
      </c>
      <c r="U396" s="40">
        <f t="shared" si="89"/>
        <v>6338689.8387000002</v>
      </c>
      <c r="V396" s="40">
        <v>77960387.451499999</v>
      </c>
      <c r="W396" s="45">
        <f t="shared" si="98"/>
        <v>295588738.57870001</v>
      </c>
    </row>
    <row r="397" spans="1:23" ht="24.9" customHeight="1">
      <c r="A397" s="151"/>
      <c r="B397" s="153"/>
      <c r="C397" s="36">
        <v>10</v>
      </c>
      <c r="D397" s="40" t="s">
        <v>910</v>
      </c>
      <c r="E397" s="40">
        <v>198397572.05970001</v>
      </c>
      <c r="F397" s="40">
        <f t="shared" si="94"/>
        <v>-11651464.66</v>
      </c>
      <c r="G397" s="40">
        <v>5951927.1617999999</v>
      </c>
      <c r="H397" s="40">
        <v>0</v>
      </c>
      <c r="I397" s="40">
        <f t="shared" si="99"/>
        <v>5951927.1617999999</v>
      </c>
      <c r="J397" s="53">
        <v>80039706.853200004</v>
      </c>
      <c r="K397" s="45">
        <f t="shared" si="97"/>
        <v>272737741.41470003</v>
      </c>
      <c r="L397" s="44"/>
      <c r="M397" s="153"/>
      <c r="N397" s="46">
        <v>8</v>
      </c>
      <c r="O397" s="153"/>
      <c r="P397" s="40" t="s">
        <v>824</v>
      </c>
      <c r="Q397" s="40">
        <v>191697252.7649</v>
      </c>
      <c r="R397" s="40">
        <v>0</v>
      </c>
      <c r="S397" s="40">
        <v>5750917.5828999998</v>
      </c>
      <c r="T397" s="40">
        <v>0</v>
      </c>
      <c r="U397" s="40">
        <f t="shared" si="89"/>
        <v>5750917.5828999998</v>
      </c>
      <c r="V397" s="40">
        <v>64305172.076700002</v>
      </c>
      <c r="W397" s="45">
        <f t="shared" si="98"/>
        <v>261753342.42449999</v>
      </c>
    </row>
    <row r="398" spans="1:23" ht="24.9" customHeight="1">
      <c r="A398" s="151"/>
      <c r="B398" s="153"/>
      <c r="C398" s="36">
        <v>11</v>
      </c>
      <c r="D398" s="40" t="s">
        <v>911</v>
      </c>
      <c r="E398" s="40">
        <v>183887129.63690001</v>
      </c>
      <c r="F398" s="40">
        <f t="shared" si="94"/>
        <v>-11651464.66</v>
      </c>
      <c r="G398" s="40">
        <v>5516613.8891000003</v>
      </c>
      <c r="H398" s="40">
        <v>0</v>
      </c>
      <c r="I398" s="40">
        <f t="shared" si="99"/>
        <v>5516613.8891000003</v>
      </c>
      <c r="J398" s="53">
        <v>67189068.442200005</v>
      </c>
      <c r="K398" s="45">
        <f t="shared" si="97"/>
        <v>244941347.3082</v>
      </c>
      <c r="L398" s="44"/>
      <c r="M398" s="153"/>
      <c r="N398" s="46">
        <v>9</v>
      </c>
      <c r="O398" s="153"/>
      <c r="P398" s="40" t="s">
        <v>912</v>
      </c>
      <c r="Q398" s="40">
        <v>207230151.2439</v>
      </c>
      <c r="R398" s="40">
        <v>0</v>
      </c>
      <c r="S398" s="40">
        <v>6216904.5373</v>
      </c>
      <c r="T398" s="40">
        <v>0</v>
      </c>
      <c r="U398" s="40">
        <f t="shared" si="89"/>
        <v>6216904.5373</v>
      </c>
      <c r="V398" s="40">
        <v>68588939.713799998</v>
      </c>
      <c r="W398" s="45">
        <f t="shared" si="98"/>
        <v>282035995.495</v>
      </c>
    </row>
    <row r="399" spans="1:23" ht="24.9" customHeight="1">
      <c r="A399" s="151"/>
      <c r="B399" s="153"/>
      <c r="C399" s="36">
        <v>12</v>
      </c>
      <c r="D399" s="40" t="s">
        <v>913</v>
      </c>
      <c r="E399" s="40">
        <v>180151262.3206</v>
      </c>
      <c r="F399" s="40">
        <f t="shared" si="94"/>
        <v>-11651464.66</v>
      </c>
      <c r="G399" s="40">
        <v>5404537.8695999999</v>
      </c>
      <c r="H399" s="40">
        <v>0</v>
      </c>
      <c r="I399" s="40">
        <f t="shared" si="99"/>
        <v>5404537.8695999999</v>
      </c>
      <c r="J399" s="53">
        <v>73521357.605599999</v>
      </c>
      <c r="K399" s="45">
        <f t="shared" si="97"/>
        <v>247425693.1358</v>
      </c>
      <c r="L399" s="44"/>
      <c r="M399" s="153"/>
      <c r="N399" s="46">
        <v>10</v>
      </c>
      <c r="O399" s="153"/>
      <c r="P399" s="40" t="s">
        <v>914</v>
      </c>
      <c r="Q399" s="40">
        <v>273526899.35390002</v>
      </c>
      <c r="R399" s="40">
        <v>0</v>
      </c>
      <c r="S399" s="40">
        <v>8205806.9806000004</v>
      </c>
      <c r="T399" s="40">
        <v>0</v>
      </c>
      <c r="U399" s="40">
        <f t="shared" si="89"/>
        <v>8205806.9806000004</v>
      </c>
      <c r="V399" s="40">
        <v>79360223.784600005</v>
      </c>
      <c r="W399" s="45">
        <f t="shared" si="98"/>
        <v>361092930.11910003</v>
      </c>
    </row>
    <row r="400" spans="1:23" ht="24.9" customHeight="1">
      <c r="A400" s="151"/>
      <c r="B400" s="153"/>
      <c r="C400" s="36">
        <v>13</v>
      </c>
      <c r="D400" s="40" t="s">
        <v>915</v>
      </c>
      <c r="E400" s="40">
        <v>188232598.743</v>
      </c>
      <c r="F400" s="40">
        <f t="shared" si="94"/>
        <v>-11651464.66</v>
      </c>
      <c r="G400" s="40">
        <v>5646977.9622999998</v>
      </c>
      <c r="H400" s="40">
        <v>0</v>
      </c>
      <c r="I400" s="40">
        <f t="shared" si="99"/>
        <v>5646977.9622999998</v>
      </c>
      <c r="J400" s="53">
        <v>75146326.640499994</v>
      </c>
      <c r="K400" s="45">
        <f t="shared" si="97"/>
        <v>257374438.68580002</v>
      </c>
      <c r="L400" s="44"/>
      <c r="M400" s="153"/>
      <c r="N400" s="46">
        <v>11</v>
      </c>
      <c r="O400" s="153"/>
      <c r="P400" s="40" t="s">
        <v>916</v>
      </c>
      <c r="Q400" s="40">
        <v>170784716.44459999</v>
      </c>
      <c r="R400" s="40">
        <v>0</v>
      </c>
      <c r="S400" s="40">
        <v>5123541.4933000002</v>
      </c>
      <c r="T400" s="40">
        <v>0</v>
      </c>
      <c r="U400" s="40">
        <f t="shared" si="89"/>
        <v>5123541.4933000002</v>
      </c>
      <c r="V400" s="40">
        <v>58594456.4943</v>
      </c>
      <c r="W400" s="45">
        <f t="shared" si="98"/>
        <v>234502714.43219998</v>
      </c>
    </row>
    <row r="401" spans="1:23" ht="24.9" customHeight="1">
      <c r="A401" s="151"/>
      <c r="B401" s="153"/>
      <c r="C401" s="36">
        <v>14</v>
      </c>
      <c r="D401" s="40" t="s">
        <v>917</v>
      </c>
      <c r="E401" s="40">
        <v>167904322.74790001</v>
      </c>
      <c r="F401" s="40">
        <f t="shared" si="94"/>
        <v>-11651464.66</v>
      </c>
      <c r="G401" s="40">
        <v>5037129.6824000003</v>
      </c>
      <c r="H401" s="40">
        <v>0</v>
      </c>
      <c r="I401" s="40">
        <f t="shared" si="99"/>
        <v>5037129.6824000003</v>
      </c>
      <c r="J401" s="53">
        <v>68693364.222399995</v>
      </c>
      <c r="K401" s="45">
        <f t="shared" si="97"/>
        <v>229983351.99269998</v>
      </c>
      <c r="L401" s="44"/>
      <c r="M401" s="153"/>
      <c r="N401" s="46">
        <v>12</v>
      </c>
      <c r="O401" s="153"/>
      <c r="P401" s="40" t="s">
        <v>918</v>
      </c>
      <c r="Q401" s="40">
        <v>197259170.3281</v>
      </c>
      <c r="R401" s="40">
        <v>0</v>
      </c>
      <c r="S401" s="40">
        <v>5917775.1097999997</v>
      </c>
      <c r="T401" s="40">
        <v>0</v>
      </c>
      <c r="U401" s="40">
        <f t="shared" si="89"/>
        <v>5917775.1097999997</v>
      </c>
      <c r="V401" s="40">
        <v>69163865.373799995</v>
      </c>
      <c r="W401" s="45">
        <f t="shared" si="98"/>
        <v>272340810.81169999</v>
      </c>
    </row>
    <row r="402" spans="1:23" ht="24.9" customHeight="1">
      <c r="A402" s="151"/>
      <c r="B402" s="153"/>
      <c r="C402" s="36">
        <v>15</v>
      </c>
      <c r="D402" s="40" t="s">
        <v>919</v>
      </c>
      <c r="E402" s="40">
        <v>167028157.3784</v>
      </c>
      <c r="F402" s="40">
        <f t="shared" si="94"/>
        <v>-11651464.66</v>
      </c>
      <c r="G402" s="40">
        <v>5010844.7214000002</v>
      </c>
      <c r="H402" s="40">
        <v>0</v>
      </c>
      <c r="I402" s="40">
        <f t="shared" si="99"/>
        <v>5010844.7214000002</v>
      </c>
      <c r="J402" s="53">
        <v>62579164.057599999</v>
      </c>
      <c r="K402" s="45">
        <f t="shared" si="97"/>
        <v>222966701.49739999</v>
      </c>
      <c r="L402" s="44"/>
      <c r="M402" s="153"/>
      <c r="N402" s="46">
        <v>13</v>
      </c>
      <c r="O402" s="153"/>
      <c r="P402" s="40" t="s">
        <v>920</v>
      </c>
      <c r="Q402" s="40">
        <v>208989606.25080001</v>
      </c>
      <c r="R402" s="40">
        <v>0</v>
      </c>
      <c r="S402" s="40">
        <v>6269688.1875</v>
      </c>
      <c r="T402" s="40">
        <v>0</v>
      </c>
      <c r="U402" s="40">
        <f t="shared" si="89"/>
        <v>6269688.1875</v>
      </c>
      <c r="V402" s="40">
        <v>75919175.428499997</v>
      </c>
      <c r="W402" s="45">
        <f t="shared" si="98"/>
        <v>291178469.86680001</v>
      </c>
    </row>
    <row r="403" spans="1:23" ht="24.9" customHeight="1">
      <c r="A403" s="151"/>
      <c r="B403" s="153"/>
      <c r="C403" s="36">
        <v>16</v>
      </c>
      <c r="D403" s="40" t="s">
        <v>921</v>
      </c>
      <c r="E403" s="40">
        <v>180519165.917</v>
      </c>
      <c r="F403" s="40">
        <f t="shared" si="94"/>
        <v>-11651464.66</v>
      </c>
      <c r="G403" s="40">
        <v>5415574.9775</v>
      </c>
      <c r="H403" s="40">
        <v>0</v>
      </c>
      <c r="I403" s="40">
        <f t="shared" si="99"/>
        <v>5415574.9775</v>
      </c>
      <c r="J403" s="53">
        <v>73812142.937099993</v>
      </c>
      <c r="K403" s="45">
        <f t="shared" si="97"/>
        <v>248095419.17159998</v>
      </c>
      <c r="L403" s="44"/>
      <c r="M403" s="154"/>
      <c r="N403" s="46">
        <v>14</v>
      </c>
      <c r="O403" s="154"/>
      <c r="P403" s="40" t="s">
        <v>922</v>
      </c>
      <c r="Q403" s="40">
        <v>230809581.8617</v>
      </c>
      <c r="R403" s="40">
        <v>0</v>
      </c>
      <c r="S403" s="40">
        <v>6924287.4559000004</v>
      </c>
      <c r="T403" s="40">
        <v>0</v>
      </c>
      <c r="U403" s="40">
        <f t="shared" si="89"/>
        <v>6924287.4559000004</v>
      </c>
      <c r="V403" s="40">
        <v>79617651.201000005</v>
      </c>
      <c r="W403" s="45">
        <f t="shared" si="98"/>
        <v>317351520.51859999</v>
      </c>
    </row>
    <row r="404" spans="1:23" ht="24.9" customHeight="1">
      <c r="A404" s="151"/>
      <c r="B404" s="153"/>
      <c r="C404" s="36">
        <v>17</v>
      </c>
      <c r="D404" s="40" t="s">
        <v>923</v>
      </c>
      <c r="E404" s="40">
        <v>206140373.43759999</v>
      </c>
      <c r="F404" s="40">
        <f t="shared" si="94"/>
        <v>-11651464.66</v>
      </c>
      <c r="G404" s="40">
        <v>6184211.2030999996</v>
      </c>
      <c r="H404" s="40">
        <v>0</v>
      </c>
      <c r="I404" s="40">
        <f t="shared" si="99"/>
        <v>6184211.2030999996</v>
      </c>
      <c r="J404" s="53">
        <v>84584091.508200005</v>
      </c>
      <c r="K404" s="45">
        <f t="shared" si="97"/>
        <v>285257211.48890001</v>
      </c>
      <c r="L404" s="44"/>
      <c r="M404" s="36"/>
      <c r="N404" s="147" t="s">
        <v>924</v>
      </c>
      <c r="O404" s="148"/>
      <c r="P404" s="41"/>
      <c r="Q404" s="41">
        <f t="shared" ref="Q404:S404" si="100">SUM(Q390:Q403)</f>
        <v>2968164798.8395004</v>
      </c>
      <c r="R404" s="41">
        <f t="shared" si="100"/>
        <v>0</v>
      </c>
      <c r="S404" s="41">
        <f t="shared" si="100"/>
        <v>89044943.965199992</v>
      </c>
      <c r="T404" s="41">
        <f t="shared" ref="T404:W404" si="101">SUM(T390:T403)</f>
        <v>0</v>
      </c>
      <c r="U404" s="41">
        <f t="shared" si="89"/>
        <v>89044943.965199992</v>
      </c>
      <c r="V404" s="41">
        <f t="shared" si="101"/>
        <v>1001167476.6982</v>
      </c>
      <c r="W404" s="41">
        <f t="shared" si="101"/>
        <v>4058377219.5028996</v>
      </c>
    </row>
    <row r="405" spans="1:23" ht="24.9" customHeight="1">
      <c r="A405" s="151"/>
      <c r="B405" s="153"/>
      <c r="C405" s="36">
        <v>18</v>
      </c>
      <c r="D405" s="40" t="s">
        <v>925</v>
      </c>
      <c r="E405" s="40">
        <v>247836731.12560001</v>
      </c>
      <c r="F405" s="40">
        <f t="shared" si="94"/>
        <v>-11651464.66</v>
      </c>
      <c r="G405" s="40">
        <v>7435101.9337999998</v>
      </c>
      <c r="H405" s="40">
        <v>0</v>
      </c>
      <c r="I405" s="40">
        <f t="shared" si="99"/>
        <v>7435101.9337999998</v>
      </c>
      <c r="J405" s="53">
        <v>95214767.315400004</v>
      </c>
      <c r="K405" s="45">
        <f t="shared" si="97"/>
        <v>338835135.7148</v>
      </c>
      <c r="L405" s="44"/>
      <c r="M405" s="152">
        <v>37</v>
      </c>
      <c r="N405" s="46">
        <v>1</v>
      </c>
      <c r="O405" s="152" t="s">
        <v>926</v>
      </c>
      <c r="P405" s="40" t="s">
        <v>927</v>
      </c>
      <c r="Q405" s="40">
        <v>152466061.30970001</v>
      </c>
      <c r="R405" s="40">
        <v>0</v>
      </c>
      <c r="S405" s="40">
        <v>4573981.8393000001</v>
      </c>
      <c r="T405" s="40">
        <v>0</v>
      </c>
      <c r="U405" s="40">
        <f t="shared" si="89"/>
        <v>4573981.8393000001</v>
      </c>
      <c r="V405" s="40">
        <v>240164447.31810001</v>
      </c>
      <c r="W405" s="45">
        <f t="shared" si="98"/>
        <v>397204490.46710002</v>
      </c>
    </row>
    <row r="406" spans="1:23" ht="24.9" customHeight="1">
      <c r="A406" s="151"/>
      <c r="B406" s="153"/>
      <c r="C406" s="36">
        <v>19</v>
      </c>
      <c r="D406" s="40" t="s">
        <v>928</v>
      </c>
      <c r="E406" s="40">
        <v>170393874.97580001</v>
      </c>
      <c r="F406" s="40">
        <f t="shared" si="94"/>
        <v>-11651464.66</v>
      </c>
      <c r="G406" s="40">
        <v>5111816.2493000003</v>
      </c>
      <c r="H406" s="40">
        <v>0</v>
      </c>
      <c r="I406" s="40">
        <f t="shared" si="99"/>
        <v>5111816.2493000003</v>
      </c>
      <c r="J406" s="53">
        <v>71548987.813700005</v>
      </c>
      <c r="K406" s="45">
        <f t="shared" si="97"/>
        <v>235403214.37880003</v>
      </c>
      <c r="L406" s="44"/>
      <c r="M406" s="153"/>
      <c r="N406" s="46">
        <v>2</v>
      </c>
      <c r="O406" s="153"/>
      <c r="P406" s="40" t="s">
        <v>929</v>
      </c>
      <c r="Q406" s="40">
        <v>389209767.083</v>
      </c>
      <c r="R406" s="40">
        <v>0</v>
      </c>
      <c r="S406" s="40">
        <v>11676293.012499999</v>
      </c>
      <c r="T406" s="40">
        <v>0</v>
      </c>
      <c r="U406" s="40">
        <f t="shared" si="89"/>
        <v>11676293.012499999</v>
      </c>
      <c r="V406" s="40">
        <v>335868837.29570001</v>
      </c>
      <c r="W406" s="45">
        <f t="shared" si="98"/>
        <v>736754897.39120007</v>
      </c>
    </row>
    <row r="407" spans="1:23" ht="24.9" customHeight="1">
      <c r="A407" s="151"/>
      <c r="B407" s="153"/>
      <c r="C407" s="36">
        <v>20</v>
      </c>
      <c r="D407" s="40" t="s">
        <v>930</v>
      </c>
      <c r="E407" s="40">
        <v>164185847.05239999</v>
      </c>
      <c r="F407" s="40">
        <f t="shared" si="94"/>
        <v>-11651464.66</v>
      </c>
      <c r="G407" s="40">
        <v>4925575.4116000002</v>
      </c>
      <c r="H407" s="40">
        <v>0</v>
      </c>
      <c r="I407" s="40">
        <f t="shared" si="99"/>
        <v>4925575.4116000002</v>
      </c>
      <c r="J407" s="53">
        <v>67540854.901299998</v>
      </c>
      <c r="K407" s="45">
        <f t="shared" si="97"/>
        <v>225000812.70529997</v>
      </c>
      <c r="L407" s="44"/>
      <c r="M407" s="153"/>
      <c r="N407" s="46">
        <v>3</v>
      </c>
      <c r="O407" s="153"/>
      <c r="P407" s="40" t="s">
        <v>931</v>
      </c>
      <c r="Q407" s="40">
        <v>219231218.28619999</v>
      </c>
      <c r="R407" s="40">
        <v>0</v>
      </c>
      <c r="S407" s="40">
        <v>6576936.5486000003</v>
      </c>
      <c r="T407" s="40">
        <v>0</v>
      </c>
      <c r="U407" s="40">
        <f t="shared" si="89"/>
        <v>6576936.5486000003</v>
      </c>
      <c r="V407" s="40">
        <v>262594256.26089999</v>
      </c>
      <c r="W407" s="45">
        <f t="shared" si="98"/>
        <v>488402411.09569997</v>
      </c>
    </row>
    <row r="408" spans="1:23" ht="24.9" customHeight="1">
      <c r="A408" s="151"/>
      <c r="B408" s="153"/>
      <c r="C408" s="36">
        <v>21</v>
      </c>
      <c r="D408" s="40" t="s">
        <v>932</v>
      </c>
      <c r="E408" s="40">
        <v>239220475.6751</v>
      </c>
      <c r="F408" s="40">
        <f t="shared" si="94"/>
        <v>-11651464.66</v>
      </c>
      <c r="G408" s="40">
        <v>7176614.2703</v>
      </c>
      <c r="H408" s="40">
        <v>0</v>
      </c>
      <c r="I408" s="40">
        <f t="shared" si="99"/>
        <v>7176614.2703</v>
      </c>
      <c r="J408" s="53">
        <v>95675398.923700005</v>
      </c>
      <c r="K408" s="45">
        <f t="shared" si="97"/>
        <v>330421024.20910001</v>
      </c>
      <c r="L408" s="44"/>
      <c r="M408" s="153"/>
      <c r="N408" s="46">
        <v>4</v>
      </c>
      <c r="O408" s="153"/>
      <c r="P408" s="40" t="s">
        <v>933</v>
      </c>
      <c r="Q408" s="40">
        <v>187884060.5467</v>
      </c>
      <c r="R408" s="40">
        <v>0</v>
      </c>
      <c r="S408" s="40">
        <v>5636521.8163999999</v>
      </c>
      <c r="T408" s="40">
        <v>0</v>
      </c>
      <c r="U408" s="40">
        <f t="shared" si="89"/>
        <v>5636521.8163999999</v>
      </c>
      <c r="V408" s="40">
        <v>253364878.6873</v>
      </c>
      <c r="W408" s="45">
        <f t="shared" si="98"/>
        <v>446885461.05040002</v>
      </c>
    </row>
    <row r="409" spans="1:23" ht="24.9" customHeight="1">
      <c r="A409" s="151"/>
      <c r="B409" s="153"/>
      <c r="C409" s="36">
        <v>22</v>
      </c>
      <c r="D409" s="40" t="s">
        <v>934</v>
      </c>
      <c r="E409" s="40">
        <v>159210520.76339999</v>
      </c>
      <c r="F409" s="40">
        <f t="shared" si="94"/>
        <v>-11651464.66</v>
      </c>
      <c r="G409" s="40">
        <v>4776315.6228999998</v>
      </c>
      <c r="H409" s="40">
        <v>0</v>
      </c>
      <c r="I409" s="40">
        <f t="shared" si="99"/>
        <v>4776315.6228999998</v>
      </c>
      <c r="J409" s="53">
        <v>65890103.254799999</v>
      </c>
      <c r="K409" s="45">
        <f t="shared" si="97"/>
        <v>218225474.98109999</v>
      </c>
      <c r="L409" s="44"/>
      <c r="M409" s="153"/>
      <c r="N409" s="46">
        <v>5</v>
      </c>
      <c r="O409" s="153"/>
      <c r="P409" s="40" t="s">
        <v>935</v>
      </c>
      <c r="Q409" s="40">
        <v>178521804.85699999</v>
      </c>
      <c r="R409" s="40">
        <v>0</v>
      </c>
      <c r="S409" s="40">
        <v>5355654.1457000002</v>
      </c>
      <c r="T409" s="40">
        <v>0</v>
      </c>
      <c r="U409" s="40">
        <f t="shared" si="89"/>
        <v>5355654.1457000002</v>
      </c>
      <c r="V409" s="40">
        <v>245337316.35730001</v>
      </c>
      <c r="W409" s="45">
        <f t="shared" si="98"/>
        <v>429214775.36000001</v>
      </c>
    </row>
    <row r="410" spans="1:23" ht="24.9" customHeight="1">
      <c r="A410" s="151"/>
      <c r="B410" s="153"/>
      <c r="C410" s="36">
        <v>23</v>
      </c>
      <c r="D410" s="40" t="s">
        <v>936</v>
      </c>
      <c r="E410" s="40">
        <v>160676029.16</v>
      </c>
      <c r="F410" s="40">
        <f t="shared" si="94"/>
        <v>-11651464.66</v>
      </c>
      <c r="G410" s="40">
        <v>4820280.8748000003</v>
      </c>
      <c r="H410" s="40">
        <v>0</v>
      </c>
      <c r="I410" s="40">
        <f t="shared" si="99"/>
        <v>4820280.8748000003</v>
      </c>
      <c r="J410" s="53">
        <v>65269327.074100003</v>
      </c>
      <c r="K410" s="45">
        <f t="shared" si="97"/>
        <v>219114172.44889998</v>
      </c>
      <c r="L410" s="44"/>
      <c r="M410" s="154"/>
      <c r="N410" s="46">
        <v>6</v>
      </c>
      <c r="O410" s="154"/>
      <c r="P410" s="40" t="s">
        <v>937</v>
      </c>
      <c r="Q410" s="40">
        <v>183634303.62900001</v>
      </c>
      <c r="R410" s="40">
        <v>0</v>
      </c>
      <c r="S410" s="40">
        <v>5509029.1089000003</v>
      </c>
      <c r="T410" s="40">
        <v>0</v>
      </c>
      <c r="U410" s="40">
        <f t="shared" si="89"/>
        <v>5509029.1089000003</v>
      </c>
      <c r="V410" s="40">
        <v>243804978.66440001</v>
      </c>
      <c r="W410" s="45">
        <f t="shared" si="98"/>
        <v>432948311.4023</v>
      </c>
    </row>
    <row r="411" spans="1:23" ht="24.9" customHeight="1">
      <c r="A411" s="151"/>
      <c r="B411" s="153"/>
      <c r="C411" s="36">
        <v>24</v>
      </c>
      <c r="D411" s="40" t="s">
        <v>938</v>
      </c>
      <c r="E411" s="40">
        <v>207291410.3847</v>
      </c>
      <c r="F411" s="40">
        <f t="shared" si="94"/>
        <v>-11651464.66</v>
      </c>
      <c r="G411" s="40">
        <v>6218742.3114999998</v>
      </c>
      <c r="H411" s="40">
        <v>0</v>
      </c>
      <c r="I411" s="40">
        <f t="shared" si="99"/>
        <v>6218742.3114999998</v>
      </c>
      <c r="J411" s="53">
        <v>82286515.269299999</v>
      </c>
      <c r="K411" s="45">
        <f t="shared" si="97"/>
        <v>284145203.30550003</v>
      </c>
      <c r="L411" s="44"/>
      <c r="M411" s="36"/>
      <c r="N411" s="147" t="s">
        <v>939</v>
      </c>
      <c r="O411" s="148"/>
      <c r="P411" s="61"/>
      <c r="Q411" s="61">
        <f>SUM(Q405:Q410)</f>
        <v>1310947215.7116001</v>
      </c>
      <c r="R411" s="61">
        <f t="shared" ref="R411:S411" si="102">SUM(R405:R410)</f>
        <v>0</v>
      </c>
      <c r="S411" s="61">
        <f t="shared" si="102"/>
        <v>39328416.4714</v>
      </c>
      <c r="T411" s="61">
        <f t="shared" ref="T411" si="103">SUM(T405:T410)</f>
        <v>0</v>
      </c>
      <c r="U411" s="41">
        <f t="shared" si="89"/>
        <v>39328416.4714</v>
      </c>
      <c r="V411" s="61">
        <f>SUM(V405:V410)</f>
        <v>1581134714.5837002</v>
      </c>
      <c r="W411" s="61">
        <f>SUM(W405:W410)</f>
        <v>2931410346.7667003</v>
      </c>
    </row>
    <row r="412" spans="1:23" ht="24.9" customHeight="1">
      <c r="A412" s="151"/>
      <c r="B412" s="153"/>
      <c r="C412" s="36">
        <v>25</v>
      </c>
      <c r="D412" s="40" t="s">
        <v>940</v>
      </c>
      <c r="E412" s="40">
        <v>211805857.322</v>
      </c>
      <c r="F412" s="40">
        <f t="shared" si="94"/>
        <v>-11651464.66</v>
      </c>
      <c r="G412" s="40">
        <v>6354175.7197000002</v>
      </c>
      <c r="H412" s="40">
        <v>0</v>
      </c>
      <c r="I412" s="40">
        <f t="shared" si="99"/>
        <v>6354175.7197000002</v>
      </c>
      <c r="J412" s="53">
        <v>86432731.3442</v>
      </c>
      <c r="K412" s="45">
        <f t="shared" si="97"/>
        <v>292941299.72589999</v>
      </c>
      <c r="L412" s="44"/>
      <c r="M412" s="146" t="s">
        <v>941</v>
      </c>
      <c r="N412" s="147"/>
      <c r="O412" s="148"/>
      <c r="P412" s="62"/>
      <c r="Q412" s="62">
        <v>144280486664.12</v>
      </c>
      <c r="R412" s="62">
        <f>-1420725710.21</f>
        <v>-1420725710.21</v>
      </c>
      <c r="S412" s="62">
        <v>4328414599.9200001</v>
      </c>
      <c r="T412" s="62">
        <v>845773250.82000005</v>
      </c>
      <c r="U412" s="41">
        <f t="shared" si="89"/>
        <v>3482641349.0999999</v>
      </c>
      <c r="V412" s="62">
        <v>62008307146.169998</v>
      </c>
      <c r="W412" s="64">
        <f>Q412+R412+S412-T412+V412</f>
        <v>208350709449.17999</v>
      </c>
    </row>
    <row r="413" spans="1:23">
      <c r="A413" s="54"/>
      <c r="B413" s="54"/>
      <c r="C413" s="54"/>
      <c r="D413" s="55"/>
      <c r="E413" s="55">
        <f>SUM(E388:E412)</f>
        <v>4734539502.7370987</v>
      </c>
      <c r="F413" s="55">
        <f t="shared" ref="F413:G413" si="104">SUM(F388:F412)</f>
        <v>-291286616.5</v>
      </c>
      <c r="G413" s="55">
        <f t="shared" si="104"/>
        <v>142036185.08219999</v>
      </c>
      <c r="H413" s="40">
        <v>0</v>
      </c>
      <c r="I413" s="40">
        <f t="shared" si="99"/>
        <v>142036185.08219999</v>
      </c>
      <c r="J413" s="55">
        <f t="shared" ref="J413" si="105">SUM(J388:J412)</f>
        <v>1907240317.4361997</v>
      </c>
      <c r="K413" s="45">
        <f t="shared" si="97"/>
        <v>6492529388.7554989</v>
      </c>
      <c r="L413" s="63">
        <v>0</v>
      </c>
      <c r="N413" s="146"/>
      <c r="O413" s="147"/>
      <c r="P413" s="148"/>
      <c r="Q413" s="59"/>
      <c r="R413" s="59"/>
      <c r="S413" s="59"/>
      <c r="T413" s="59"/>
      <c r="U413" s="59"/>
      <c r="V413" s="59"/>
      <c r="W413" s="65"/>
    </row>
    <row r="414" spans="1:23" ht="16.8">
      <c r="D414" s="56"/>
      <c r="E414" s="57"/>
      <c r="F414" s="57"/>
      <c r="G414" s="57"/>
      <c r="H414" s="57"/>
      <c r="I414" s="57"/>
      <c r="J414" s="57"/>
      <c r="K414" s="57"/>
      <c r="P414" s="63"/>
      <c r="Q414" s="66"/>
      <c r="R414" s="67"/>
      <c r="S414" s="68"/>
      <c r="T414" s="68"/>
      <c r="U414" s="68"/>
      <c r="V414" s="69"/>
    </row>
    <row r="415" spans="1:23">
      <c r="C415" s="58"/>
      <c r="D415" s="59"/>
      <c r="E415" s="59"/>
      <c r="F415" s="59"/>
      <c r="G415" s="59"/>
      <c r="H415" s="59"/>
      <c r="I415" s="59"/>
      <c r="J415" s="59"/>
      <c r="K415" s="59"/>
      <c r="Q415" s="69"/>
      <c r="S415" s="69"/>
      <c r="T415" s="69"/>
      <c r="U415" s="69"/>
      <c r="V415" s="69"/>
    </row>
  </sheetData>
  <mergeCells count="118">
    <mergeCell ref="M372:M388"/>
    <mergeCell ref="M390:M403"/>
    <mergeCell ref="M405:M410"/>
    <mergeCell ref="O7:O25"/>
    <mergeCell ref="O27:O60"/>
    <mergeCell ref="O62:O82"/>
    <mergeCell ref="O84:O104"/>
    <mergeCell ref="O106:O121"/>
    <mergeCell ref="O123:O142"/>
    <mergeCell ref="O144:O156"/>
    <mergeCell ref="O158:O182"/>
    <mergeCell ref="O184:O203"/>
    <mergeCell ref="O205:O222"/>
    <mergeCell ref="O224:O253"/>
    <mergeCell ref="O255:O287"/>
    <mergeCell ref="O289:O305"/>
    <mergeCell ref="O307:O329"/>
    <mergeCell ref="O331:O353"/>
    <mergeCell ref="O355:O370"/>
    <mergeCell ref="O373:O388"/>
    <mergeCell ref="O390:O403"/>
    <mergeCell ref="O405:O410"/>
    <mergeCell ref="A388:A412"/>
    <mergeCell ref="B7:B23"/>
    <mergeCell ref="B25:B45"/>
    <mergeCell ref="B47:B77"/>
    <mergeCell ref="B79:B99"/>
    <mergeCell ref="B101:B120"/>
    <mergeCell ref="B122:B129"/>
    <mergeCell ref="B131:B153"/>
    <mergeCell ref="B155:B181"/>
    <mergeCell ref="B183:B200"/>
    <mergeCell ref="B202:B226"/>
    <mergeCell ref="B228:B240"/>
    <mergeCell ref="B242:B259"/>
    <mergeCell ref="B261:B276"/>
    <mergeCell ref="B278:B294"/>
    <mergeCell ref="B296:B306"/>
    <mergeCell ref="B308:B334"/>
    <mergeCell ref="B336:B362"/>
    <mergeCell ref="B364:B386"/>
    <mergeCell ref="B388:B412"/>
    <mergeCell ref="B387:C387"/>
    <mergeCell ref="N389:O389"/>
    <mergeCell ref="N404:O404"/>
    <mergeCell ref="N411:O411"/>
    <mergeCell ref="M412:O412"/>
    <mergeCell ref="N413:P413"/>
    <mergeCell ref="A7:A23"/>
    <mergeCell ref="A25:A45"/>
    <mergeCell ref="A47:A77"/>
    <mergeCell ref="A79:A99"/>
    <mergeCell ref="A101:A120"/>
    <mergeCell ref="A122:A129"/>
    <mergeCell ref="A131:A153"/>
    <mergeCell ref="A155:A181"/>
    <mergeCell ref="A183:A200"/>
    <mergeCell ref="A202:A226"/>
    <mergeCell ref="A228:A240"/>
    <mergeCell ref="A242:A259"/>
    <mergeCell ref="A261:A276"/>
    <mergeCell ref="A278:A294"/>
    <mergeCell ref="A296:A306"/>
    <mergeCell ref="A308:A334"/>
    <mergeCell ref="A336:A362"/>
    <mergeCell ref="A364:A386"/>
    <mergeCell ref="N288:O288"/>
    <mergeCell ref="B295:C295"/>
    <mergeCell ref="N306:O306"/>
    <mergeCell ref="B307:C307"/>
    <mergeCell ref="N330:O330"/>
    <mergeCell ref="B335:C335"/>
    <mergeCell ref="N354:O354"/>
    <mergeCell ref="B363:C363"/>
    <mergeCell ref="N371:O371"/>
    <mergeCell ref="M289:M305"/>
    <mergeCell ref="M307:M329"/>
    <mergeCell ref="M331:M353"/>
    <mergeCell ref="M355:M370"/>
    <mergeCell ref="N183:O183"/>
    <mergeCell ref="B201:C201"/>
    <mergeCell ref="N204:O204"/>
    <mergeCell ref="N223:O223"/>
    <mergeCell ref="B227:C227"/>
    <mergeCell ref="B241:C241"/>
    <mergeCell ref="N254:O254"/>
    <mergeCell ref="B260:C260"/>
    <mergeCell ref="B277:C277"/>
    <mergeCell ref="M184:M203"/>
    <mergeCell ref="M205:M222"/>
    <mergeCell ref="M224:M253"/>
    <mergeCell ref="M255:M287"/>
    <mergeCell ref="B100:C100"/>
    <mergeCell ref="N105:O105"/>
    <mergeCell ref="B121:C121"/>
    <mergeCell ref="N122:O122"/>
    <mergeCell ref="B130:C130"/>
    <mergeCell ref="N143:O143"/>
    <mergeCell ref="B154:C154"/>
    <mergeCell ref="N157:O157"/>
    <mergeCell ref="B182:C182"/>
    <mergeCell ref="M84:M104"/>
    <mergeCell ref="M106:M121"/>
    <mergeCell ref="M123:M142"/>
    <mergeCell ref="M144:M156"/>
    <mergeCell ref="M158:M182"/>
    <mergeCell ref="A1:V1"/>
    <mergeCell ref="A2:W2"/>
    <mergeCell ref="B3:V3"/>
    <mergeCell ref="B24:C24"/>
    <mergeCell ref="N26:O26"/>
    <mergeCell ref="B46:C46"/>
    <mergeCell ref="N61:O61"/>
    <mergeCell ref="B78:C78"/>
    <mergeCell ref="N83:O83"/>
    <mergeCell ref="M7:M25"/>
    <mergeCell ref="M27:M60"/>
    <mergeCell ref="M62:M82"/>
  </mergeCells>
  <pageMargins left="0.7" right="0.7" top="0.75" bottom="0.75" header="0.3" footer="0.3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42"/>
  <sheetViews>
    <sheetView topLeftCell="A3" workbookViewId="0">
      <selection activeCell="D4" sqref="D4"/>
    </sheetView>
  </sheetViews>
  <sheetFormatPr defaultColWidth="8.88671875" defaultRowHeight="18"/>
  <cols>
    <col min="1" max="1" width="8.88671875" style="1"/>
    <col min="2" max="2" width="26.109375" style="1" customWidth="1"/>
    <col min="3" max="3" width="26.33203125" style="1" customWidth="1"/>
    <col min="4" max="16384" width="8.88671875" style="1"/>
  </cols>
  <sheetData>
    <row r="1" spans="1:3">
      <c r="A1" s="164" t="s">
        <v>119</v>
      </c>
      <c r="B1" s="164"/>
      <c r="C1" s="164"/>
    </row>
    <row r="2" spans="1:3">
      <c r="A2" s="164" t="s">
        <v>61</v>
      </c>
      <c r="B2" s="164"/>
      <c r="C2" s="164"/>
    </row>
    <row r="3" spans="1:3" ht="99" customHeight="1">
      <c r="A3" s="165" t="s">
        <v>942</v>
      </c>
      <c r="B3" s="165"/>
      <c r="C3" s="165"/>
    </row>
    <row r="4" spans="1:3" ht="54.75" customHeight="1">
      <c r="A4" s="26" t="s">
        <v>943</v>
      </c>
      <c r="B4" s="26" t="s">
        <v>121</v>
      </c>
      <c r="C4" s="27" t="s">
        <v>944</v>
      </c>
    </row>
    <row r="5" spans="1:3">
      <c r="A5" s="28"/>
      <c r="B5" s="28"/>
      <c r="C5" s="118" t="s">
        <v>26</v>
      </c>
    </row>
    <row r="6" spans="1:3">
      <c r="A6" s="29">
        <v>1</v>
      </c>
      <c r="B6" s="30" t="s">
        <v>83</v>
      </c>
      <c r="C6" s="31">
        <v>128259591.41436701</v>
      </c>
    </row>
    <row r="7" spans="1:3">
      <c r="A7" s="29">
        <v>2</v>
      </c>
      <c r="B7" s="30" t="s">
        <v>84</v>
      </c>
      <c r="C7" s="31">
        <v>136446148.92673799</v>
      </c>
    </row>
    <row r="8" spans="1:3">
      <c r="A8" s="29">
        <v>3</v>
      </c>
      <c r="B8" s="30" t="s">
        <v>85</v>
      </c>
      <c r="C8" s="31">
        <v>137714132.265553</v>
      </c>
    </row>
    <row r="9" spans="1:3">
      <c r="A9" s="29">
        <v>4</v>
      </c>
      <c r="B9" s="30" t="s">
        <v>86</v>
      </c>
      <c r="C9" s="31">
        <v>136190533.13038599</v>
      </c>
    </row>
    <row r="10" spans="1:3">
      <c r="A10" s="29">
        <v>5</v>
      </c>
      <c r="B10" s="30" t="s">
        <v>87</v>
      </c>
      <c r="C10" s="31">
        <v>163841774.273965</v>
      </c>
    </row>
    <row r="11" spans="1:3">
      <c r="A11" s="29">
        <v>6</v>
      </c>
      <c r="B11" s="30" t="s">
        <v>88</v>
      </c>
      <c r="C11" s="31">
        <v>121196343.84730101</v>
      </c>
    </row>
    <row r="12" spans="1:3" ht="30" customHeight="1">
      <c r="A12" s="29">
        <v>7</v>
      </c>
      <c r="B12" s="30" t="s">
        <v>89</v>
      </c>
      <c r="C12" s="31">
        <v>153612254.774829</v>
      </c>
    </row>
    <row r="13" spans="1:3">
      <c r="A13" s="29">
        <v>8</v>
      </c>
      <c r="B13" s="30" t="s">
        <v>90</v>
      </c>
      <c r="C13" s="31">
        <v>170180363.50144199</v>
      </c>
    </row>
    <row r="14" spans="1:3">
      <c r="A14" s="29">
        <v>9</v>
      </c>
      <c r="B14" s="30" t="s">
        <v>91</v>
      </c>
      <c r="C14" s="31">
        <v>137737618.22195801</v>
      </c>
    </row>
    <row r="15" spans="1:3">
      <c r="A15" s="29">
        <v>10</v>
      </c>
      <c r="B15" s="30" t="s">
        <v>92</v>
      </c>
      <c r="C15" s="31">
        <v>139076561.39751601</v>
      </c>
    </row>
    <row r="16" spans="1:3">
      <c r="A16" s="29">
        <v>11</v>
      </c>
      <c r="B16" s="30" t="s">
        <v>93</v>
      </c>
      <c r="C16" s="31">
        <v>122541996.539123</v>
      </c>
    </row>
    <row r="17" spans="1:3">
      <c r="A17" s="29">
        <v>12</v>
      </c>
      <c r="B17" s="30" t="s">
        <v>94</v>
      </c>
      <c r="C17" s="31">
        <v>128076026.116934</v>
      </c>
    </row>
    <row r="18" spans="1:3">
      <c r="A18" s="29">
        <v>13</v>
      </c>
      <c r="B18" s="30" t="s">
        <v>95</v>
      </c>
      <c r="C18" s="31">
        <v>122472846.804619</v>
      </c>
    </row>
    <row r="19" spans="1:3">
      <c r="A19" s="29">
        <v>14</v>
      </c>
      <c r="B19" s="30" t="s">
        <v>96</v>
      </c>
      <c r="C19" s="31">
        <v>137749505.90837899</v>
      </c>
    </row>
    <row r="20" spans="1:3">
      <c r="A20" s="29">
        <v>15</v>
      </c>
      <c r="B20" s="30" t="s">
        <v>97</v>
      </c>
      <c r="C20" s="31">
        <v>129017540.743661</v>
      </c>
    </row>
    <row r="21" spans="1:3">
      <c r="A21" s="29">
        <v>16</v>
      </c>
      <c r="B21" s="30" t="s">
        <v>98</v>
      </c>
      <c r="C21" s="31">
        <v>142412708.385189</v>
      </c>
    </row>
    <row r="22" spans="1:3">
      <c r="A22" s="29">
        <v>17</v>
      </c>
      <c r="B22" s="30" t="s">
        <v>99</v>
      </c>
      <c r="C22" s="31">
        <v>153178078.67056599</v>
      </c>
    </row>
    <row r="23" spans="1:3">
      <c r="A23" s="29">
        <v>18</v>
      </c>
      <c r="B23" s="30" t="s">
        <v>100</v>
      </c>
      <c r="C23" s="31">
        <v>179465935.372518</v>
      </c>
    </row>
    <row r="24" spans="1:3">
      <c r="A24" s="29">
        <v>19</v>
      </c>
      <c r="B24" s="30" t="s">
        <v>101</v>
      </c>
      <c r="C24" s="31">
        <v>217263494.689116</v>
      </c>
    </row>
    <row r="25" spans="1:3">
      <c r="A25" s="29">
        <v>20</v>
      </c>
      <c r="B25" s="30" t="s">
        <v>102</v>
      </c>
      <c r="C25" s="31">
        <v>168373025.07520401</v>
      </c>
    </row>
    <row r="26" spans="1:3">
      <c r="A26" s="29">
        <v>21</v>
      </c>
      <c r="B26" s="30" t="s">
        <v>103</v>
      </c>
      <c r="C26" s="31">
        <v>144633268.56109899</v>
      </c>
    </row>
    <row r="27" spans="1:3">
      <c r="A27" s="29">
        <v>22</v>
      </c>
      <c r="B27" s="30" t="s">
        <v>104</v>
      </c>
      <c r="C27" s="31">
        <v>151387368.787377</v>
      </c>
    </row>
    <row r="28" spans="1:3">
      <c r="A28" s="29">
        <v>23</v>
      </c>
      <c r="B28" s="30" t="s">
        <v>105</v>
      </c>
      <c r="C28" s="31">
        <v>121926815.521496</v>
      </c>
    </row>
    <row r="29" spans="1:3">
      <c r="A29" s="29">
        <v>24</v>
      </c>
      <c r="B29" s="30" t="s">
        <v>106</v>
      </c>
      <c r="C29" s="31">
        <v>183493115.782224</v>
      </c>
    </row>
    <row r="30" spans="1:3">
      <c r="A30" s="29">
        <v>25</v>
      </c>
      <c r="B30" s="30" t="s">
        <v>107</v>
      </c>
      <c r="C30" s="31">
        <v>126316442.871097</v>
      </c>
    </row>
    <row r="31" spans="1:3">
      <c r="A31" s="29">
        <v>26</v>
      </c>
      <c r="B31" s="30" t="s">
        <v>108</v>
      </c>
      <c r="C31" s="31">
        <v>162247846.75249299</v>
      </c>
    </row>
    <row r="32" spans="1:3">
      <c r="A32" s="29">
        <v>27</v>
      </c>
      <c r="B32" s="30" t="s">
        <v>109</v>
      </c>
      <c r="C32" s="31">
        <v>127254595.315182</v>
      </c>
    </row>
    <row r="33" spans="1:3">
      <c r="A33" s="29">
        <v>28</v>
      </c>
      <c r="B33" s="30" t="s">
        <v>110</v>
      </c>
      <c r="C33" s="31">
        <v>127506700.920174</v>
      </c>
    </row>
    <row r="34" spans="1:3">
      <c r="A34" s="29">
        <v>29</v>
      </c>
      <c r="B34" s="30" t="s">
        <v>111</v>
      </c>
      <c r="C34" s="31">
        <v>124921765.641414</v>
      </c>
    </row>
    <row r="35" spans="1:3">
      <c r="A35" s="29">
        <v>30</v>
      </c>
      <c r="B35" s="30" t="s">
        <v>112</v>
      </c>
      <c r="C35" s="31">
        <v>153629227.09967101</v>
      </c>
    </row>
    <row r="36" spans="1:3">
      <c r="A36" s="29">
        <v>31</v>
      </c>
      <c r="B36" s="30" t="s">
        <v>113</v>
      </c>
      <c r="C36" s="31">
        <v>143033873.11006001</v>
      </c>
    </row>
    <row r="37" spans="1:3">
      <c r="A37" s="29">
        <v>32</v>
      </c>
      <c r="B37" s="30" t="s">
        <v>114</v>
      </c>
      <c r="C37" s="31">
        <v>147720145.76512301</v>
      </c>
    </row>
    <row r="38" spans="1:3">
      <c r="A38" s="29">
        <v>33</v>
      </c>
      <c r="B38" s="30" t="s">
        <v>115</v>
      </c>
      <c r="C38" s="31">
        <v>150956578.53555599</v>
      </c>
    </row>
    <row r="39" spans="1:3">
      <c r="A39" s="29">
        <v>34</v>
      </c>
      <c r="B39" s="30" t="s">
        <v>116</v>
      </c>
      <c r="C39" s="31">
        <v>131942356.744101</v>
      </c>
    </row>
    <row r="40" spans="1:3">
      <c r="A40" s="29">
        <v>35</v>
      </c>
      <c r="B40" s="30" t="s">
        <v>117</v>
      </c>
      <c r="C40" s="31">
        <v>136015632.43023801</v>
      </c>
    </row>
    <row r="41" spans="1:3">
      <c r="A41" s="29">
        <v>36</v>
      </c>
      <c r="B41" s="30" t="s">
        <v>118</v>
      </c>
      <c r="C41" s="31">
        <v>136305306.01147601</v>
      </c>
    </row>
    <row r="42" spans="1:3">
      <c r="A42" s="166" t="s">
        <v>25</v>
      </c>
      <c r="B42" s="167"/>
      <c r="C42" s="32">
        <f>SUM(C6:C41)</f>
        <v>5194097519.908145</v>
      </c>
    </row>
  </sheetData>
  <mergeCells count="4">
    <mergeCell ref="A1:C1"/>
    <mergeCell ref="A2:C2"/>
    <mergeCell ref="A3:C3"/>
    <mergeCell ref="A42:B4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48"/>
  <sheetViews>
    <sheetView topLeftCell="E1" workbookViewId="0">
      <selection activeCell="E4" sqref="E4"/>
    </sheetView>
  </sheetViews>
  <sheetFormatPr defaultColWidth="8.88671875" defaultRowHeight="18"/>
  <cols>
    <col min="1" max="1" width="8.88671875" style="1"/>
    <col min="2" max="2" width="17.6640625" style="1" customWidth="1"/>
    <col min="3" max="3" width="25.5546875" style="1" customWidth="1"/>
    <col min="4" max="7" width="25.44140625" style="1" customWidth="1"/>
    <col min="8" max="8" width="26.33203125" style="1" customWidth="1"/>
    <col min="9" max="9" width="29.5546875" style="1" customWidth="1"/>
    <col min="10" max="16384" width="8.88671875" style="1"/>
  </cols>
  <sheetData>
    <row r="1" spans="1:9">
      <c r="A1" s="166" t="s">
        <v>17</v>
      </c>
      <c r="B1" s="168"/>
      <c r="C1" s="168"/>
      <c r="D1" s="168"/>
      <c r="E1" s="168"/>
      <c r="F1" s="168"/>
      <c r="G1" s="168"/>
      <c r="H1" s="168"/>
      <c r="I1" s="167"/>
    </row>
    <row r="2" spans="1:9">
      <c r="A2" s="166" t="s">
        <v>61</v>
      </c>
      <c r="B2" s="168"/>
      <c r="C2" s="168"/>
      <c r="D2" s="168"/>
      <c r="E2" s="168"/>
      <c r="F2" s="168"/>
      <c r="G2" s="168"/>
      <c r="H2" s="168"/>
      <c r="I2" s="167"/>
    </row>
    <row r="3" spans="1:9" ht="33" customHeight="1">
      <c r="A3" s="169" t="s">
        <v>945</v>
      </c>
      <c r="B3" s="170"/>
      <c r="C3" s="170"/>
      <c r="D3" s="170"/>
      <c r="E3" s="170"/>
      <c r="F3" s="170"/>
      <c r="G3" s="170"/>
      <c r="H3" s="170"/>
      <c r="I3" s="171"/>
    </row>
    <row r="4" spans="1:9" ht="21" customHeight="1">
      <c r="A4" s="9">
        <v>1</v>
      </c>
      <c r="B4" s="9">
        <v>2</v>
      </c>
      <c r="C4" s="9">
        <v>3</v>
      </c>
      <c r="D4" s="9">
        <v>4</v>
      </c>
      <c r="E4" s="9">
        <v>5</v>
      </c>
      <c r="F4" s="9">
        <v>6</v>
      </c>
      <c r="G4" s="9" t="s">
        <v>946</v>
      </c>
      <c r="H4" s="9">
        <v>8</v>
      </c>
      <c r="I4" s="9" t="s">
        <v>947</v>
      </c>
    </row>
    <row r="5" spans="1:9" ht="48" customHeight="1">
      <c r="A5" s="10" t="s">
        <v>21</v>
      </c>
      <c r="B5" s="10" t="s">
        <v>127</v>
      </c>
      <c r="C5" s="11" t="s">
        <v>46</v>
      </c>
      <c r="D5" s="12" t="s">
        <v>123</v>
      </c>
      <c r="E5" s="13" t="s">
        <v>948</v>
      </c>
      <c r="F5" s="14" t="s">
        <v>73</v>
      </c>
      <c r="G5" s="14" t="s">
        <v>74</v>
      </c>
      <c r="H5" s="15" t="s">
        <v>24</v>
      </c>
      <c r="I5" s="2" t="s">
        <v>949</v>
      </c>
    </row>
    <row r="6" spans="1:9">
      <c r="A6" s="10"/>
      <c r="B6" s="10"/>
      <c r="C6" s="118" t="s">
        <v>26</v>
      </c>
      <c r="D6" s="118" t="s">
        <v>26</v>
      </c>
      <c r="E6" s="118" t="s">
        <v>26</v>
      </c>
      <c r="F6" s="118" t="s">
        <v>26</v>
      </c>
      <c r="G6" s="118" t="s">
        <v>26</v>
      </c>
      <c r="H6" s="118" t="s">
        <v>26</v>
      </c>
      <c r="I6" s="118" t="s">
        <v>26</v>
      </c>
    </row>
    <row r="7" spans="1:9">
      <c r="A7" s="17">
        <v>1</v>
      </c>
      <c r="B7" s="18" t="s">
        <v>83</v>
      </c>
      <c r="C7" s="19">
        <v>2994710182.1145601</v>
      </c>
      <c r="D7" s="19">
        <v>0</v>
      </c>
      <c r="E7" s="20">
        <v>89841305.463436902</v>
      </c>
      <c r="F7" s="21">
        <f>E7/2</f>
        <v>44920652.731718451</v>
      </c>
      <c r="G7" s="19">
        <f>E7-F7</f>
        <v>44920652.731718451</v>
      </c>
      <c r="H7" s="19">
        <v>1095222860.3513999</v>
      </c>
      <c r="I7" s="24">
        <f t="shared" ref="I7:I43" si="0">C7+D7+G7+H7</f>
        <v>4134853695.1976786</v>
      </c>
    </row>
    <row r="8" spans="1:9">
      <c r="A8" s="17">
        <v>2</v>
      </c>
      <c r="B8" s="18" t="s">
        <v>84</v>
      </c>
      <c r="C8" s="19">
        <v>3777397083.7962098</v>
      </c>
      <c r="D8" s="19">
        <f>-29166666.6901</f>
        <v>-29166666.690099999</v>
      </c>
      <c r="E8" s="20">
        <v>113321912.513886</v>
      </c>
      <c r="F8" s="21">
        <v>0</v>
      </c>
      <c r="G8" s="19">
        <f t="shared" ref="G8:G43" si="1">E8-F8</f>
        <v>113321912.513886</v>
      </c>
      <c r="H8" s="19">
        <v>1284763026.017</v>
      </c>
      <c r="I8" s="24">
        <f t="shared" si="0"/>
        <v>5146315355.6369953</v>
      </c>
    </row>
    <row r="9" spans="1:9">
      <c r="A9" s="17">
        <v>3</v>
      </c>
      <c r="B9" s="18" t="s">
        <v>85</v>
      </c>
      <c r="C9" s="19">
        <v>5031270945.3666</v>
      </c>
      <c r="D9" s="19">
        <v>0</v>
      </c>
      <c r="E9" s="20">
        <v>150938128.360998</v>
      </c>
      <c r="F9" s="21">
        <f t="shared" ref="F9:F38" si="2">E9/2</f>
        <v>75469064.180499002</v>
      </c>
      <c r="G9" s="19">
        <f t="shared" si="1"/>
        <v>75469064.180499002</v>
      </c>
      <c r="H9" s="19">
        <v>1906030366.7098999</v>
      </c>
      <c r="I9" s="24">
        <f t="shared" si="0"/>
        <v>7012770376.256999</v>
      </c>
    </row>
    <row r="10" spans="1:9">
      <c r="A10" s="17">
        <v>4</v>
      </c>
      <c r="B10" s="18" t="s">
        <v>86</v>
      </c>
      <c r="C10" s="19">
        <v>3797810538.1154399</v>
      </c>
      <c r="D10" s="19">
        <v>0</v>
      </c>
      <c r="E10" s="20">
        <v>113934316.143463</v>
      </c>
      <c r="F10" s="21">
        <v>0</v>
      </c>
      <c r="G10" s="19">
        <f t="shared" si="1"/>
        <v>113934316.143463</v>
      </c>
      <c r="H10" s="19">
        <v>1518138796.766</v>
      </c>
      <c r="I10" s="24">
        <f t="shared" si="0"/>
        <v>5429883651.0249033</v>
      </c>
    </row>
    <row r="11" spans="1:9">
      <c r="A11" s="17">
        <v>5</v>
      </c>
      <c r="B11" s="18" t="s">
        <v>87</v>
      </c>
      <c r="C11" s="19">
        <v>4311266500.1103897</v>
      </c>
      <c r="D11" s="19">
        <v>0</v>
      </c>
      <c r="E11" s="20">
        <v>129337995.00331201</v>
      </c>
      <c r="F11" s="21">
        <v>0</v>
      </c>
      <c r="G11" s="19">
        <f t="shared" si="1"/>
        <v>129337995.00331201</v>
      </c>
      <c r="H11" s="19">
        <v>1452270330.9233</v>
      </c>
      <c r="I11" s="24">
        <f t="shared" si="0"/>
        <v>5892874826.0370016</v>
      </c>
    </row>
    <row r="12" spans="1:9">
      <c r="A12" s="17">
        <v>6</v>
      </c>
      <c r="B12" s="18" t="s">
        <v>88</v>
      </c>
      <c r="C12" s="19">
        <v>1754843272.26806</v>
      </c>
      <c r="D12" s="19">
        <v>0</v>
      </c>
      <c r="E12" s="20">
        <v>52645298.168041699</v>
      </c>
      <c r="F12" s="21">
        <f t="shared" si="2"/>
        <v>26322649.084020849</v>
      </c>
      <c r="G12" s="19">
        <f t="shared" si="1"/>
        <v>26322649.084020849</v>
      </c>
      <c r="H12" s="19">
        <v>733590551.41400003</v>
      </c>
      <c r="I12" s="24">
        <f t="shared" si="0"/>
        <v>2514756472.7660809</v>
      </c>
    </row>
    <row r="13" spans="1:9">
      <c r="A13" s="17">
        <v>7</v>
      </c>
      <c r="B13" s="18" t="s">
        <v>89</v>
      </c>
      <c r="C13" s="19">
        <v>4691325201.3812599</v>
      </c>
      <c r="D13" s="19">
        <f>-139538498.5199</f>
        <v>-139538498.51989999</v>
      </c>
      <c r="E13" s="20">
        <v>140739756.04143801</v>
      </c>
      <c r="F13" s="21">
        <f t="shared" si="2"/>
        <v>70369878.020719007</v>
      </c>
      <c r="G13" s="19">
        <f t="shared" si="1"/>
        <v>70369878.020719007</v>
      </c>
      <c r="H13" s="19">
        <v>1503081327.5083001</v>
      </c>
      <c r="I13" s="24">
        <f t="shared" si="0"/>
        <v>6125237908.390378</v>
      </c>
    </row>
    <row r="14" spans="1:9">
      <c r="A14" s="17">
        <v>8</v>
      </c>
      <c r="B14" s="18" t="s">
        <v>90</v>
      </c>
      <c r="C14" s="19">
        <v>5093373290.6612597</v>
      </c>
      <c r="D14" s="19">
        <v>0</v>
      </c>
      <c r="E14" s="20">
        <v>152801198.71983799</v>
      </c>
      <c r="F14" s="21">
        <v>0</v>
      </c>
      <c r="G14" s="19">
        <f t="shared" si="1"/>
        <v>152801198.71983799</v>
      </c>
      <c r="H14" s="19">
        <v>1681892147.5365</v>
      </c>
      <c r="I14" s="24">
        <f t="shared" si="0"/>
        <v>6928066636.9175978</v>
      </c>
    </row>
    <row r="15" spans="1:9">
      <c r="A15" s="17">
        <v>9</v>
      </c>
      <c r="B15" s="18" t="s">
        <v>91</v>
      </c>
      <c r="C15" s="19">
        <v>3283537340.0830102</v>
      </c>
      <c r="D15" s="19">
        <f>-38551266.1799</f>
        <v>-38551266.179899998</v>
      </c>
      <c r="E15" s="20">
        <v>98506120.2024903</v>
      </c>
      <c r="F15" s="21">
        <f t="shared" si="2"/>
        <v>49253060.10124515</v>
      </c>
      <c r="G15" s="19">
        <f t="shared" si="1"/>
        <v>49253060.10124515</v>
      </c>
      <c r="H15" s="19">
        <v>1119575931.9837999</v>
      </c>
      <c r="I15" s="24">
        <f t="shared" si="0"/>
        <v>4413815065.9881554</v>
      </c>
    </row>
    <row r="16" spans="1:9">
      <c r="A16" s="17">
        <v>10</v>
      </c>
      <c r="B16" s="18" t="s">
        <v>92</v>
      </c>
      <c r="C16" s="19">
        <v>4207382169.9354401</v>
      </c>
      <c r="D16" s="19">
        <v>0</v>
      </c>
      <c r="E16" s="20">
        <v>126221465.09806301</v>
      </c>
      <c r="F16" s="21">
        <f t="shared" si="2"/>
        <v>63110732.549031503</v>
      </c>
      <c r="G16" s="19">
        <f t="shared" si="1"/>
        <v>63110732.549031503</v>
      </c>
      <c r="H16" s="19">
        <v>1710565917.9028001</v>
      </c>
      <c r="I16" s="24">
        <f t="shared" si="0"/>
        <v>5981058820.3872719</v>
      </c>
    </row>
    <row r="17" spans="1:9">
      <c r="A17" s="17">
        <v>11</v>
      </c>
      <c r="B17" s="18" t="s">
        <v>93</v>
      </c>
      <c r="C17" s="19">
        <v>2428949308.8658299</v>
      </c>
      <c r="D17" s="19">
        <f>-55779808.3913</f>
        <v>-55779808.3913</v>
      </c>
      <c r="E17" s="20">
        <v>72868479.265974805</v>
      </c>
      <c r="F17" s="21">
        <v>0</v>
      </c>
      <c r="G17" s="19">
        <f t="shared" si="1"/>
        <v>72868479.265974805</v>
      </c>
      <c r="H17" s="19">
        <v>884032562.95249999</v>
      </c>
      <c r="I17" s="24">
        <f t="shared" si="0"/>
        <v>3330070542.6930046</v>
      </c>
    </row>
    <row r="18" spans="1:9">
      <c r="A18" s="17">
        <v>12</v>
      </c>
      <c r="B18" s="18" t="s">
        <v>94</v>
      </c>
      <c r="C18" s="19">
        <v>3219216832.5472798</v>
      </c>
      <c r="D18" s="19">
        <v>0</v>
      </c>
      <c r="E18" s="20">
        <v>96576504.976418406</v>
      </c>
      <c r="F18" s="21">
        <f t="shared" si="2"/>
        <v>48288252.488209203</v>
      </c>
      <c r="G18" s="19">
        <f t="shared" si="1"/>
        <v>48288252.488209203</v>
      </c>
      <c r="H18" s="19">
        <v>1320570939.1589999</v>
      </c>
      <c r="I18" s="24">
        <f t="shared" si="0"/>
        <v>4588076024.1944885</v>
      </c>
    </row>
    <row r="19" spans="1:9">
      <c r="A19" s="17">
        <v>13</v>
      </c>
      <c r="B19" s="18" t="s">
        <v>95</v>
      </c>
      <c r="C19" s="19">
        <v>2556174907.8465099</v>
      </c>
      <c r="D19" s="19">
        <v>0</v>
      </c>
      <c r="E19" s="20">
        <v>76685247.235395104</v>
      </c>
      <c r="F19" s="21">
        <v>0</v>
      </c>
      <c r="G19" s="19">
        <f t="shared" si="1"/>
        <v>76685247.235395104</v>
      </c>
      <c r="H19" s="19">
        <v>995685795.78840005</v>
      </c>
      <c r="I19" s="24">
        <f t="shared" si="0"/>
        <v>3628545950.8703051</v>
      </c>
    </row>
    <row r="20" spans="1:9">
      <c r="A20" s="17">
        <v>14</v>
      </c>
      <c r="B20" s="18" t="s">
        <v>96</v>
      </c>
      <c r="C20" s="19">
        <v>3270772161.9713602</v>
      </c>
      <c r="D20" s="19">
        <v>0</v>
      </c>
      <c r="E20" s="20">
        <v>98123164.859140798</v>
      </c>
      <c r="F20" s="21">
        <v>0</v>
      </c>
      <c r="G20" s="19">
        <f t="shared" si="1"/>
        <v>98123164.859140798</v>
      </c>
      <c r="H20" s="19">
        <v>1204285229.8168001</v>
      </c>
      <c r="I20" s="24">
        <f t="shared" si="0"/>
        <v>4573180556.6473007</v>
      </c>
    </row>
    <row r="21" spans="1:9">
      <c r="A21" s="17">
        <v>15</v>
      </c>
      <c r="B21" s="18" t="s">
        <v>97</v>
      </c>
      <c r="C21" s="19">
        <v>2241135369.7768898</v>
      </c>
      <c r="D21" s="19">
        <f>-53983557.43</f>
        <v>-53983557.43</v>
      </c>
      <c r="E21" s="20">
        <v>67234061.093306795</v>
      </c>
      <c r="F21" s="21">
        <v>0</v>
      </c>
      <c r="G21" s="19">
        <f t="shared" si="1"/>
        <v>67234061.093306795</v>
      </c>
      <c r="H21" s="19">
        <v>783994842.97759998</v>
      </c>
      <c r="I21" s="24">
        <f t="shared" si="0"/>
        <v>3038380716.4177971</v>
      </c>
    </row>
    <row r="22" spans="1:9">
      <c r="A22" s="17">
        <v>16</v>
      </c>
      <c r="B22" s="18" t="s">
        <v>98</v>
      </c>
      <c r="C22" s="19">
        <v>4383562274.2330103</v>
      </c>
      <c r="D22" s="19">
        <v>0</v>
      </c>
      <c r="E22" s="20">
        <v>131506868.22699</v>
      </c>
      <c r="F22" s="21">
        <f t="shared" si="2"/>
        <v>65753434.113495</v>
      </c>
      <c r="G22" s="19">
        <f t="shared" si="1"/>
        <v>65753434.113495</v>
      </c>
      <c r="H22" s="19">
        <v>1624508907.5369</v>
      </c>
      <c r="I22" s="24">
        <f t="shared" si="0"/>
        <v>6073824615.8834057</v>
      </c>
    </row>
    <row r="23" spans="1:9">
      <c r="A23" s="17">
        <v>17</v>
      </c>
      <c r="B23" s="18" t="s">
        <v>99</v>
      </c>
      <c r="C23" s="19">
        <v>4605344895.4263096</v>
      </c>
      <c r="D23" s="19">
        <v>0</v>
      </c>
      <c r="E23" s="20">
        <v>138160346.86278901</v>
      </c>
      <c r="F23" s="21">
        <v>0</v>
      </c>
      <c r="G23" s="19">
        <f t="shared" si="1"/>
        <v>138160346.86278901</v>
      </c>
      <c r="H23" s="19">
        <v>1719726006.4935</v>
      </c>
      <c r="I23" s="24">
        <f t="shared" si="0"/>
        <v>6463231248.7825985</v>
      </c>
    </row>
    <row r="24" spans="1:9">
      <c r="A24" s="17">
        <v>18</v>
      </c>
      <c r="B24" s="18" t="s">
        <v>100</v>
      </c>
      <c r="C24" s="19">
        <v>5179146415.1849499</v>
      </c>
      <c r="D24" s="19">
        <v>0</v>
      </c>
      <c r="E24" s="20">
        <v>155374392.45554799</v>
      </c>
      <c r="F24" s="21">
        <v>0</v>
      </c>
      <c r="G24" s="19">
        <f t="shared" si="1"/>
        <v>155374392.45554799</v>
      </c>
      <c r="H24" s="19">
        <v>1804550045.3371</v>
      </c>
      <c r="I24" s="24">
        <f t="shared" si="0"/>
        <v>7139070852.9775982</v>
      </c>
    </row>
    <row r="25" spans="1:9">
      <c r="A25" s="17">
        <v>19</v>
      </c>
      <c r="B25" s="18" t="s">
        <v>101</v>
      </c>
      <c r="C25" s="19">
        <v>8245644975.4932003</v>
      </c>
      <c r="D25" s="19">
        <f>-512664445.0399</f>
        <v>-512664445.0399</v>
      </c>
      <c r="E25" s="20">
        <v>247369349.26479599</v>
      </c>
      <c r="F25" s="21">
        <v>0</v>
      </c>
      <c r="G25" s="19">
        <f t="shared" si="1"/>
        <v>247369349.26479599</v>
      </c>
      <c r="H25" s="19">
        <v>3319364497.8253999</v>
      </c>
      <c r="I25" s="24">
        <f t="shared" si="0"/>
        <v>11299714377.543497</v>
      </c>
    </row>
    <row r="26" spans="1:9">
      <c r="A26" s="17">
        <v>20</v>
      </c>
      <c r="B26" s="18" t="s">
        <v>102</v>
      </c>
      <c r="C26" s="19">
        <v>6277549872.5242701</v>
      </c>
      <c r="D26" s="19">
        <v>0</v>
      </c>
      <c r="E26" s="20">
        <v>188326496.17572799</v>
      </c>
      <c r="F26" s="21">
        <v>0</v>
      </c>
      <c r="G26" s="19">
        <f t="shared" si="1"/>
        <v>188326496.17572799</v>
      </c>
      <c r="H26" s="19">
        <v>2156701724.3656998</v>
      </c>
      <c r="I26" s="24">
        <f t="shared" si="0"/>
        <v>8622578093.0656967</v>
      </c>
    </row>
    <row r="27" spans="1:9">
      <c r="A27" s="17">
        <v>21</v>
      </c>
      <c r="B27" s="18" t="s">
        <v>103</v>
      </c>
      <c r="C27" s="19">
        <v>3961807796.34233</v>
      </c>
      <c r="D27" s="19">
        <v>0</v>
      </c>
      <c r="E27" s="20">
        <v>118854233.89026999</v>
      </c>
      <c r="F27" s="21">
        <f t="shared" si="2"/>
        <v>59427116.945134997</v>
      </c>
      <c r="G27" s="19">
        <f t="shared" si="1"/>
        <v>59427116.945134997</v>
      </c>
      <c r="H27" s="19">
        <v>1310318150.8450999</v>
      </c>
      <c r="I27" s="24">
        <f t="shared" si="0"/>
        <v>5331553064.1325645</v>
      </c>
    </row>
    <row r="28" spans="1:9">
      <c r="A28" s="17">
        <v>22</v>
      </c>
      <c r="B28" s="18" t="s">
        <v>104</v>
      </c>
      <c r="C28" s="19">
        <v>4094818554.0569901</v>
      </c>
      <c r="D28" s="19">
        <f>-187142998.77</f>
        <v>-187142998.77000001</v>
      </c>
      <c r="E28" s="20">
        <v>122844556.62171</v>
      </c>
      <c r="F28" s="21">
        <f t="shared" si="2"/>
        <v>61422278.310855001</v>
      </c>
      <c r="G28" s="19">
        <f t="shared" si="1"/>
        <v>61422278.310855001</v>
      </c>
      <c r="H28" s="19">
        <v>1296652811.2641001</v>
      </c>
      <c r="I28" s="24">
        <f t="shared" si="0"/>
        <v>5265750644.8619452</v>
      </c>
    </row>
    <row r="29" spans="1:9">
      <c r="A29" s="17">
        <v>23</v>
      </c>
      <c r="B29" s="18" t="s">
        <v>105</v>
      </c>
      <c r="C29" s="19">
        <v>2897513038.43786</v>
      </c>
      <c r="D29" s="19">
        <v>0</v>
      </c>
      <c r="E29" s="20">
        <v>86925391.153135896</v>
      </c>
      <c r="F29" s="21">
        <f t="shared" si="2"/>
        <v>43462695.576567948</v>
      </c>
      <c r="G29" s="19">
        <f t="shared" si="1"/>
        <v>43462695.576567948</v>
      </c>
      <c r="H29" s="19">
        <v>1015564328.8940001</v>
      </c>
      <c r="I29" s="24">
        <f t="shared" si="0"/>
        <v>3956540062.9084282</v>
      </c>
    </row>
    <row r="30" spans="1:9">
      <c r="A30" s="17">
        <v>24</v>
      </c>
      <c r="B30" s="18" t="s">
        <v>106</v>
      </c>
      <c r="C30" s="19">
        <v>4935902415.9963102</v>
      </c>
      <c r="D30" s="19">
        <v>0</v>
      </c>
      <c r="E30" s="20">
        <v>148077072.47988901</v>
      </c>
      <c r="F30" s="21">
        <v>0</v>
      </c>
      <c r="G30" s="19">
        <f t="shared" si="1"/>
        <v>148077072.47988901</v>
      </c>
      <c r="H30" s="19">
        <v>8197522165.5839996</v>
      </c>
      <c r="I30" s="24">
        <f t="shared" si="0"/>
        <v>13281501654.0602</v>
      </c>
    </row>
    <row r="31" spans="1:9">
      <c r="A31" s="17">
        <v>25</v>
      </c>
      <c r="B31" s="18" t="s">
        <v>107</v>
      </c>
      <c r="C31" s="19">
        <v>2585081029.3308702</v>
      </c>
      <c r="D31" s="19">
        <f>-39238127.2398</f>
        <v>-39238127.239799999</v>
      </c>
      <c r="E31" s="20">
        <v>77552430.879926205</v>
      </c>
      <c r="F31" s="21">
        <v>0</v>
      </c>
      <c r="G31" s="19">
        <f t="shared" si="1"/>
        <v>77552430.879926205</v>
      </c>
      <c r="H31" s="19">
        <v>804643410.76800001</v>
      </c>
      <c r="I31" s="24">
        <f t="shared" si="0"/>
        <v>3428038743.7389965</v>
      </c>
    </row>
    <row r="32" spans="1:9">
      <c r="A32" s="17">
        <v>26</v>
      </c>
      <c r="B32" s="18" t="s">
        <v>108</v>
      </c>
      <c r="C32" s="19">
        <v>4784785579.5503902</v>
      </c>
      <c r="D32" s="19">
        <v>0</v>
      </c>
      <c r="E32" s="20">
        <v>143543567.38651201</v>
      </c>
      <c r="F32" s="21">
        <f t="shared" si="2"/>
        <v>71771783.693256006</v>
      </c>
      <c r="G32" s="19">
        <f t="shared" si="1"/>
        <v>71771783.693256006</v>
      </c>
      <c r="H32" s="19">
        <v>1579377086.5465</v>
      </c>
      <c r="I32" s="24">
        <f t="shared" si="0"/>
        <v>6435934449.7901468</v>
      </c>
    </row>
    <row r="33" spans="1:9">
      <c r="A33" s="17">
        <v>27</v>
      </c>
      <c r="B33" s="18" t="s">
        <v>109</v>
      </c>
      <c r="C33" s="19">
        <v>3413448732.40903</v>
      </c>
      <c r="D33" s="19">
        <f>-115776950.4</f>
        <v>-115776950.40000001</v>
      </c>
      <c r="E33" s="20">
        <v>102403461.972271</v>
      </c>
      <c r="F33" s="21">
        <v>0</v>
      </c>
      <c r="G33" s="19">
        <f t="shared" si="1"/>
        <v>102403461.972271</v>
      </c>
      <c r="H33" s="19">
        <v>1387978202.8038001</v>
      </c>
      <c r="I33" s="24">
        <f t="shared" si="0"/>
        <v>4788053446.7851009</v>
      </c>
    </row>
    <row r="34" spans="1:9">
      <c r="A34" s="17">
        <v>28</v>
      </c>
      <c r="B34" s="18" t="s">
        <v>110</v>
      </c>
      <c r="C34" s="19">
        <v>3260059455.23175</v>
      </c>
      <c r="D34" s="19">
        <f>-47177126.8199</f>
        <v>-47177126.819899999</v>
      </c>
      <c r="E34" s="20">
        <v>97801783.656952396</v>
      </c>
      <c r="F34" s="21">
        <f t="shared" si="2"/>
        <v>48900891.828476198</v>
      </c>
      <c r="G34" s="19">
        <f t="shared" si="1"/>
        <v>48900891.828476198</v>
      </c>
      <c r="H34" s="19">
        <v>1390731978.9674001</v>
      </c>
      <c r="I34" s="24">
        <f t="shared" si="0"/>
        <v>4652515199.2077265</v>
      </c>
    </row>
    <row r="35" spans="1:9">
      <c r="A35" s="17">
        <v>29</v>
      </c>
      <c r="B35" s="18" t="s">
        <v>111</v>
      </c>
      <c r="C35" s="19">
        <v>4415832956.9031096</v>
      </c>
      <c r="D35" s="19">
        <f>-82028645.1002</f>
        <v>-82028645.100199997</v>
      </c>
      <c r="E35" s="20">
        <v>132474988.707093</v>
      </c>
      <c r="F35" s="21">
        <v>0</v>
      </c>
      <c r="G35" s="19">
        <f t="shared" si="1"/>
        <v>132474988.707093</v>
      </c>
      <c r="H35" s="19">
        <v>1671429539.3645</v>
      </c>
      <c r="I35" s="24">
        <f t="shared" si="0"/>
        <v>6137708839.8745031</v>
      </c>
    </row>
    <row r="36" spans="1:9">
      <c r="A36" s="17">
        <v>30</v>
      </c>
      <c r="B36" s="18" t="s">
        <v>112</v>
      </c>
      <c r="C36" s="19">
        <v>5570228732.7134895</v>
      </c>
      <c r="D36" s="19">
        <f>-83688581.4596</f>
        <v>-83688581.459600002</v>
      </c>
      <c r="E36" s="20">
        <v>167106861.98140499</v>
      </c>
      <c r="F36" s="21">
        <v>0</v>
      </c>
      <c r="G36" s="19">
        <f t="shared" si="1"/>
        <v>167106861.98140499</v>
      </c>
      <c r="H36" s="19">
        <v>2973054247.6107001</v>
      </c>
      <c r="I36" s="24">
        <f t="shared" si="0"/>
        <v>8626701260.8459949</v>
      </c>
    </row>
    <row r="37" spans="1:9">
      <c r="A37" s="17">
        <v>31</v>
      </c>
      <c r="B37" s="18" t="s">
        <v>113</v>
      </c>
      <c r="C37" s="19">
        <v>3491787083.0324302</v>
      </c>
      <c r="D37" s="19">
        <v>0</v>
      </c>
      <c r="E37" s="20">
        <v>104753612.490973</v>
      </c>
      <c r="F37" s="21">
        <f t="shared" si="2"/>
        <v>52376806.245486498</v>
      </c>
      <c r="G37" s="19">
        <f t="shared" si="1"/>
        <v>52376806.245486498</v>
      </c>
      <c r="H37" s="19">
        <v>1146486004.6616001</v>
      </c>
      <c r="I37" s="24">
        <f t="shared" si="0"/>
        <v>4690649893.939517</v>
      </c>
    </row>
    <row r="38" spans="1:9">
      <c r="A38" s="17">
        <v>32</v>
      </c>
      <c r="B38" s="18" t="s">
        <v>114</v>
      </c>
      <c r="C38" s="19">
        <v>4328263663.2683496</v>
      </c>
      <c r="D38" s="19">
        <v>0</v>
      </c>
      <c r="E38" s="20">
        <v>129847909.89805</v>
      </c>
      <c r="F38" s="21">
        <f t="shared" si="2"/>
        <v>64923954.949024998</v>
      </c>
      <c r="G38" s="19">
        <f t="shared" si="1"/>
        <v>64923954.949024998</v>
      </c>
      <c r="H38" s="19">
        <v>3359385171.0331998</v>
      </c>
      <c r="I38" s="24">
        <f t="shared" si="0"/>
        <v>7752572789.2505741</v>
      </c>
    </row>
    <row r="39" spans="1:9">
      <c r="A39" s="17">
        <v>33</v>
      </c>
      <c r="B39" s="18" t="s">
        <v>115</v>
      </c>
      <c r="C39" s="19">
        <v>4359231419.9647598</v>
      </c>
      <c r="D39" s="19">
        <f>-35989038.1698</f>
        <v>-35989038.169799998</v>
      </c>
      <c r="E39" s="20">
        <v>130776942.598943</v>
      </c>
      <c r="F39" s="21">
        <v>0</v>
      </c>
      <c r="G39" s="19">
        <f t="shared" si="1"/>
        <v>130776942.598943</v>
      </c>
      <c r="H39" s="19">
        <v>1484321789.813</v>
      </c>
      <c r="I39" s="24">
        <f t="shared" si="0"/>
        <v>5938341114.2069025</v>
      </c>
    </row>
    <row r="40" spans="1:9">
      <c r="A40" s="17">
        <v>34</v>
      </c>
      <c r="B40" s="18" t="s">
        <v>116</v>
      </c>
      <c r="C40" s="19">
        <v>3267258533.33951</v>
      </c>
      <c r="D40" s="19">
        <v>0</v>
      </c>
      <c r="E40" s="20">
        <v>98017756.0001854</v>
      </c>
      <c r="F40" s="21">
        <v>0</v>
      </c>
      <c r="G40" s="19">
        <f t="shared" si="1"/>
        <v>98017756.0001854</v>
      </c>
      <c r="H40" s="19">
        <v>953379604.03299999</v>
      </c>
      <c r="I40" s="24">
        <f t="shared" si="0"/>
        <v>4318655893.3726959</v>
      </c>
    </row>
    <row r="41" spans="1:9">
      <c r="A41" s="17">
        <v>35</v>
      </c>
      <c r="B41" s="18" t="s">
        <v>117</v>
      </c>
      <c r="C41" s="19">
        <v>3284942121.2831101</v>
      </c>
      <c r="D41" s="19">
        <v>0</v>
      </c>
      <c r="E41" s="20">
        <v>98548263.638493195</v>
      </c>
      <c r="F41" s="21">
        <v>0</v>
      </c>
      <c r="G41" s="19">
        <f t="shared" si="1"/>
        <v>98548263.638493195</v>
      </c>
      <c r="H41" s="19">
        <v>1036608653.3299</v>
      </c>
      <c r="I41" s="24">
        <f t="shared" si="0"/>
        <v>4420099038.251503</v>
      </c>
    </row>
    <row r="42" spans="1:9">
      <c r="A42" s="17">
        <v>36</v>
      </c>
      <c r="B42" s="18" t="s">
        <v>118</v>
      </c>
      <c r="C42" s="19">
        <v>2968164798.83951</v>
      </c>
      <c r="D42" s="19">
        <v>0</v>
      </c>
      <c r="E42" s="20">
        <v>89044943.965185404</v>
      </c>
      <c r="F42" s="21">
        <v>0</v>
      </c>
      <c r="G42" s="19">
        <f t="shared" si="1"/>
        <v>89044943.965185404</v>
      </c>
      <c r="H42" s="19">
        <v>1001167476.6982</v>
      </c>
      <c r="I42" s="24">
        <f t="shared" si="0"/>
        <v>4058377219.5028954</v>
      </c>
    </row>
    <row r="43" spans="1:9">
      <c r="A43" s="17">
        <v>37</v>
      </c>
      <c r="B43" s="18" t="s">
        <v>926</v>
      </c>
      <c r="C43" s="19">
        <v>1310947215.7116499</v>
      </c>
      <c r="D43" s="19">
        <v>0</v>
      </c>
      <c r="E43" s="20">
        <v>39328416.4713495</v>
      </c>
      <c r="F43" s="21">
        <v>0</v>
      </c>
      <c r="G43" s="19">
        <f t="shared" si="1"/>
        <v>39328416.4713495</v>
      </c>
      <c r="H43" s="19">
        <v>1581134714.5836999</v>
      </c>
      <c r="I43" s="24">
        <f t="shared" si="0"/>
        <v>2931410346.7666993</v>
      </c>
    </row>
    <row r="44" spans="1:9">
      <c r="A44" s="5"/>
      <c r="B44" s="5"/>
      <c r="C44" s="22">
        <f>SUM(C7:C43)</f>
        <v>144280486664.11328</v>
      </c>
      <c r="D44" s="22">
        <f t="shared" ref="D44:I44" si="3">SUM(D7:D43)</f>
        <v>-1420725710.2103999</v>
      </c>
      <c r="E44" s="22">
        <f t="shared" si="3"/>
        <v>4328414599.9233971</v>
      </c>
      <c r="F44" s="22">
        <f t="shared" si="3"/>
        <v>845773250.81773973</v>
      </c>
      <c r="G44" s="22">
        <f t="shared" si="3"/>
        <v>3482641349.1056585</v>
      </c>
      <c r="H44" s="22">
        <f t="shared" si="3"/>
        <v>62008307146.166603</v>
      </c>
      <c r="I44" s="22">
        <f t="shared" si="3"/>
        <v>208350709449.1752</v>
      </c>
    </row>
    <row r="46" spans="1:9">
      <c r="F46" s="23"/>
    </row>
    <row r="48" spans="1:9">
      <c r="I48" s="25"/>
    </row>
  </sheetData>
  <mergeCells count="3">
    <mergeCell ref="A1:I1"/>
    <mergeCell ref="A2:I2"/>
    <mergeCell ref="A3:I3"/>
  </mergeCells>
  <pageMargins left="0.70833333333333304" right="0.70833333333333304" top="0.35416666666666702" bottom="0.156944444444444" header="0.31458333333333299" footer="0.31458333333333299"/>
  <pageSetup paperSize="9" scale="61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780"/>
  <sheetViews>
    <sheetView workbookViewId="0">
      <selection activeCell="A779" sqref="A779"/>
    </sheetView>
  </sheetViews>
  <sheetFormatPr defaultColWidth="9.109375" defaultRowHeight="18"/>
  <cols>
    <col min="1" max="1" width="9.109375" style="1"/>
    <col min="2" max="2" width="18.5546875" style="1" customWidth="1"/>
    <col min="3" max="3" width="25" style="1" customWidth="1"/>
    <col min="4" max="4" width="25.5546875" style="1" customWidth="1"/>
    <col min="5" max="16384" width="9.109375" style="1"/>
  </cols>
  <sheetData>
    <row r="1" spans="1:4">
      <c r="A1" s="164" t="s">
        <v>17</v>
      </c>
      <c r="B1" s="164"/>
      <c r="C1" s="164"/>
      <c r="D1" s="164"/>
    </row>
    <row r="2" spans="1:4">
      <c r="A2" s="164" t="s">
        <v>61</v>
      </c>
      <c r="B2" s="164"/>
      <c r="C2" s="164"/>
      <c r="D2" s="164"/>
    </row>
    <row r="3" spans="1:4" ht="55.5" customHeight="1">
      <c r="A3" s="165" t="s">
        <v>950</v>
      </c>
      <c r="B3" s="165"/>
      <c r="C3" s="165"/>
      <c r="D3" s="165"/>
    </row>
    <row r="4" spans="1:4" ht="35.4">
      <c r="A4" s="3" t="s">
        <v>951</v>
      </c>
      <c r="B4" s="3" t="s">
        <v>952</v>
      </c>
      <c r="C4" s="4" t="s">
        <v>953</v>
      </c>
      <c r="D4" s="4" t="s">
        <v>954</v>
      </c>
    </row>
    <row r="5" spans="1:4">
      <c r="A5" s="5"/>
      <c r="B5" s="5"/>
      <c r="C5" s="6" t="s">
        <v>26</v>
      </c>
      <c r="D5" s="6" t="s">
        <v>26</v>
      </c>
    </row>
    <row r="6" spans="1:4">
      <c r="A6" s="5">
        <v>1</v>
      </c>
      <c r="B6" s="5" t="s">
        <v>83</v>
      </c>
      <c r="C6" s="5" t="s">
        <v>128</v>
      </c>
      <c r="D6" s="7">
        <v>4602643.5950999996</v>
      </c>
    </row>
    <row r="7" spans="1:4">
      <c r="A7" s="5">
        <v>2</v>
      </c>
      <c r="B7" s="5" t="s">
        <v>83</v>
      </c>
      <c r="C7" s="5" t="s">
        <v>130</v>
      </c>
      <c r="D7" s="7">
        <v>7678911.2483000001</v>
      </c>
    </row>
    <row r="8" spans="1:4">
      <c r="A8" s="5">
        <v>3</v>
      </c>
      <c r="B8" s="5" t="s">
        <v>83</v>
      </c>
      <c r="C8" s="5" t="s">
        <v>132</v>
      </c>
      <c r="D8" s="7">
        <v>5402959.5102000004</v>
      </c>
    </row>
    <row r="9" spans="1:4">
      <c r="A9" s="5">
        <v>4</v>
      </c>
      <c r="B9" s="5" t="s">
        <v>83</v>
      </c>
      <c r="C9" s="5" t="s">
        <v>134</v>
      </c>
      <c r="D9" s="7">
        <v>5505030.5686999997</v>
      </c>
    </row>
    <row r="10" spans="1:4">
      <c r="A10" s="5">
        <v>5</v>
      </c>
      <c r="B10" s="5" t="s">
        <v>83</v>
      </c>
      <c r="C10" s="5" t="s">
        <v>136</v>
      </c>
      <c r="D10" s="7">
        <v>5010655.9836999997</v>
      </c>
    </row>
    <row r="11" spans="1:4">
      <c r="A11" s="5">
        <v>6</v>
      </c>
      <c r="B11" s="5" t="s">
        <v>83</v>
      </c>
      <c r="C11" s="5" t="s">
        <v>138</v>
      </c>
      <c r="D11" s="7">
        <v>5174712.4785000002</v>
      </c>
    </row>
    <row r="12" spans="1:4">
      <c r="A12" s="5">
        <v>7</v>
      </c>
      <c r="B12" s="5" t="s">
        <v>83</v>
      </c>
      <c r="C12" s="5" t="s">
        <v>139</v>
      </c>
      <c r="D12" s="7">
        <v>5020857.1272999998</v>
      </c>
    </row>
    <row r="13" spans="1:4">
      <c r="A13" s="5">
        <v>8</v>
      </c>
      <c r="B13" s="5" t="s">
        <v>83</v>
      </c>
      <c r="C13" s="5" t="s">
        <v>141</v>
      </c>
      <c r="D13" s="7">
        <v>4895648.7791999998</v>
      </c>
    </row>
    <row r="14" spans="1:4">
      <c r="A14" s="5">
        <v>9</v>
      </c>
      <c r="B14" s="5" t="s">
        <v>83</v>
      </c>
      <c r="C14" s="5" t="s">
        <v>143</v>
      </c>
      <c r="D14" s="7">
        <v>5281707.8658999996</v>
      </c>
    </row>
    <row r="15" spans="1:4">
      <c r="A15" s="5">
        <v>10</v>
      </c>
      <c r="B15" s="5" t="s">
        <v>83</v>
      </c>
      <c r="C15" s="5" t="s">
        <v>145</v>
      </c>
      <c r="D15" s="7">
        <v>5359864.7752</v>
      </c>
    </row>
    <row r="16" spans="1:4">
      <c r="A16" s="5">
        <v>11</v>
      </c>
      <c r="B16" s="5" t="s">
        <v>83</v>
      </c>
      <c r="C16" s="5" t="s">
        <v>147</v>
      </c>
      <c r="D16" s="7">
        <v>5861440.8596999999</v>
      </c>
    </row>
    <row r="17" spans="1:4">
      <c r="A17" s="5">
        <v>12</v>
      </c>
      <c r="B17" s="5" t="s">
        <v>83</v>
      </c>
      <c r="C17" s="5" t="s">
        <v>149</v>
      </c>
      <c r="D17" s="7">
        <v>5643525.5683000004</v>
      </c>
    </row>
    <row r="18" spans="1:4">
      <c r="A18" s="5">
        <v>13</v>
      </c>
      <c r="B18" s="5" t="s">
        <v>83</v>
      </c>
      <c r="C18" s="5" t="s">
        <v>151</v>
      </c>
      <c r="D18" s="7">
        <v>4309520.6067000004</v>
      </c>
    </row>
    <row r="19" spans="1:4">
      <c r="A19" s="5">
        <v>14</v>
      </c>
      <c r="B19" s="5" t="s">
        <v>83</v>
      </c>
      <c r="C19" s="5" t="s">
        <v>153</v>
      </c>
      <c r="D19" s="7">
        <v>4071908.3343000002</v>
      </c>
    </row>
    <row r="20" spans="1:4">
      <c r="A20" s="5">
        <v>15</v>
      </c>
      <c r="B20" s="5" t="s">
        <v>83</v>
      </c>
      <c r="C20" s="5" t="s">
        <v>155</v>
      </c>
      <c r="D20" s="7">
        <v>4240049.2965000002</v>
      </c>
    </row>
    <row r="21" spans="1:4">
      <c r="A21" s="5">
        <v>16</v>
      </c>
      <c r="B21" s="5" t="s">
        <v>83</v>
      </c>
      <c r="C21" s="5" t="s">
        <v>157</v>
      </c>
      <c r="D21" s="7">
        <v>6320546.1847000001</v>
      </c>
    </row>
    <row r="22" spans="1:4">
      <c r="A22" s="5">
        <v>17</v>
      </c>
      <c r="B22" s="5" t="s">
        <v>83</v>
      </c>
      <c r="C22" s="5" t="s">
        <v>159</v>
      </c>
      <c r="D22" s="7">
        <v>5461322.6810999997</v>
      </c>
    </row>
    <row r="23" spans="1:4">
      <c r="A23" s="5">
        <v>18</v>
      </c>
      <c r="B23" s="5" t="s">
        <v>84</v>
      </c>
      <c r="C23" s="5" t="s">
        <v>164</v>
      </c>
      <c r="D23" s="7">
        <v>5600764.6153999995</v>
      </c>
    </row>
    <row r="24" spans="1:4">
      <c r="A24" s="5">
        <v>19</v>
      </c>
      <c r="B24" s="5" t="s">
        <v>84</v>
      </c>
      <c r="C24" s="5" t="s">
        <v>166</v>
      </c>
      <c r="D24" s="7">
        <v>6842159.4677999998</v>
      </c>
    </row>
    <row r="25" spans="1:4">
      <c r="A25" s="5">
        <v>20</v>
      </c>
      <c r="B25" s="5" t="s">
        <v>84</v>
      </c>
      <c r="C25" s="5" t="s">
        <v>167</v>
      </c>
      <c r="D25" s="7">
        <v>5826100.7470000004</v>
      </c>
    </row>
    <row r="26" spans="1:4">
      <c r="A26" s="5">
        <v>21</v>
      </c>
      <c r="B26" s="5" t="s">
        <v>84</v>
      </c>
      <c r="C26" s="5" t="s">
        <v>169</v>
      </c>
      <c r="D26" s="7">
        <v>5100835.1497999998</v>
      </c>
    </row>
    <row r="27" spans="1:4">
      <c r="A27" s="5">
        <v>22</v>
      </c>
      <c r="B27" s="5" t="s">
        <v>84</v>
      </c>
      <c r="C27" s="5" t="s">
        <v>171</v>
      </c>
      <c r="D27" s="7">
        <v>5047459.1677999999</v>
      </c>
    </row>
    <row r="28" spans="1:4">
      <c r="A28" s="5">
        <v>23</v>
      </c>
      <c r="B28" s="5" t="s">
        <v>84</v>
      </c>
      <c r="C28" s="5" t="s">
        <v>173</v>
      </c>
      <c r="D28" s="7">
        <v>5396461.1936999997</v>
      </c>
    </row>
    <row r="29" spans="1:4">
      <c r="A29" s="5">
        <v>24</v>
      </c>
      <c r="B29" s="5" t="s">
        <v>84</v>
      </c>
      <c r="C29" s="5" t="s">
        <v>175</v>
      </c>
      <c r="D29" s="7">
        <v>5878040.0983999996</v>
      </c>
    </row>
    <row r="30" spans="1:4">
      <c r="A30" s="5">
        <v>25</v>
      </c>
      <c r="B30" s="5" t="s">
        <v>84</v>
      </c>
      <c r="C30" s="5" t="s">
        <v>177</v>
      </c>
      <c r="D30" s="7">
        <v>6148920.2850000001</v>
      </c>
    </row>
    <row r="31" spans="1:4">
      <c r="A31" s="5">
        <v>26</v>
      </c>
      <c r="B31" s="5" t="s">
        <v>84</v>
      </c>
      <c r="C31" s="5" t="s">
        <v>179</v>
      </c>
      <c r="D31" s="7">
        <v>5346180.2500999998</v>
      </c>
    </row>
    <row r="32" spans="1:4">
      <c r="A32" s="5">
        <v>27</v>
      </c>
      <c r="B32" s="5" t="s">
        <v>84</v>
      </c>
      <c r="C32" s="5" t="s">
        <v>181</v>
      </c>
      <c r="D32" s="7">
        <v>4786801.3425000003</v>
      </c>
    </row>
    <row r="33" spans="1:4">
      <c r="A33" s="5">
        <v>28</v>
      </c>
      <c r="B33" s="5" t="s">
        <v>84</v>
      </c>
      <c r="C33" s="5" t="s">
        <v>183</v>
      </c>
      <c r="D33" s="7">
        <v>4864460.4897999996</v>
      </c>
    </row>
    <row r="34" spans="1:4">
      <c r="A34" s="5">
        <v>29</v>
      </c>
      <c r="B34" s="5" t="s">
        <v>84</v>
      </c>
      <c r="C34" s="5" t="s">
        <v>185</v>
      </c>
      <c r="D34" s="7">
        <v>4762619.9765999997</v>
      </c>
    </row>
    <row r="35" spans="1:4">
      <c r="A35" s="5">
        <v>30</v>
      </c>
      <c r="B35" s="5" t="s">
        <v>84</v>
      </c>
      <c r="C35" s="5" t="s">
        <v>187</v>
      </c>
      <c r="D35" s="7">
        <v>5522360.2533999998</v>
      </c>
    </row>
    <row r="36" spans="1:4">
      <c r="A36" s="5">
        <v>31</v>
      </c>
      <c r="B36" s="5" t="s">
        <v>84</v>
      </c>
      <c r="C36" s="5" t="s">
        <v>189</v>
      </c>
      <c r="D36" s="7">
        <v>5353601.2134999996</v>
      </c>
    </row>
    <row r="37" spans="1:4">
      <c r="A37" s="5">
        <v>32</v>
      </c>
      <c r="B37" s="5" t="s">
        <v>84</v>
      </c>
      <c r="C37" s="5" t="s">
        <v>191</v>
      </c>
      <c r="D37" s="7">
        <v>5108623.6830000002</v>
      </c>
    </row>
    <row r="38" spans="1:4">
      <c r="A38" s="5">
        <v>33</v>
      </c>
      <c r="B38" s="5" t="s">
        <v>84</v>
      </c>
      <c r="C38" s="5" t="s">
        <v>193</v>
      </c>
      <c r="D38" s="7">
        <v>4759321.4214000003</v>
      </c>
    </row>
    <row r="39" spans="1:4">
      <c r="A39" s="5">
        <v>34</v>
      </c>
      <c r="B39" s="5" t="s">
        <v>84</v>
      </c>
      <c r="C39" s="5" t="s">
        <v>195</v>
      </c>
      <c r="D39" s="7">
        <v>4523054.4974999996</v>
      </c>
    </row>
    <row r="40" spans="1:4">
      <c r="A40" s="5">
        <v>35</v>
      </c>
      <c r="B40" s="5" t="s">
        <v>84</v>
      </c>
      <c r="C40" s="5" t="s">
        <v>197</v>
      </c>
      <c r="D40" s="7">
        <v>5123876.1297000004</v>
      </c>
    </row>
    <row r="41" spans="1:4">
      <c r="A41" s="5">
        <v>36</v>
      </c>
      <c r="B41" s="5" t="s">
        <v>84</v>
      </c>
      <c r="C41" s="5" t="s">
        <v>199</v>
      </c>
      <c r="D41" s="7">
        <v>6449514.6403999999</v>
      </c>
    </row>
    <row r="42" spans="1:4">
      <c r="A42" s="5">
        <v>37</v>
      </c>
      <c r="B42" s="5" t="s">
        <v>84</v>
      </c>
      <c r="C42" s="5" t="s">
        <v>201</v>
      </c>
      <c r="D42" s="7">
        <v>5525820.7165000001</v>
      </c>
    </row>
    <row r="43" spans="1:4">
      <c r="A43" s="5">
        <v>38</v>
      </c>
      <c r="B43" s="5" t="s">
        <v>84</v>
      </c>
      <c r="C43" s="5" t="s">
        <v>203</v>
      </c>
      <c r="D43" s="7">
        <v>5354937.1745999996</v>
      </c>
    </row>
    <row r="44" spans="1:4">
      <c r="A44" s="5">
        <v>39</v>
      </c>
      <c r="B44" s="5" t="s">
        <v>85</v>
      </c>
      <c r="C44" s="5" t="s">
        <v>208</v>
      </c>
      <c r="D44" s="7">
        <v>5142005.608</v>
      </c>
    </row>
    <row r="45" spans="1:4">
      <c r="A45" s="5">
        <v>40</v>
      </c>
      <c r="B45" s="5" t="s">
        <v>85</v>
      </c>
      <c r="C45" s="5" t="s">
        <v>209</v>
      </c>
      <c r="D45" s="7">
        <v>4014870.1605000002</v>
      </c>
    </row>
    <row r="46" spans="1:4">
      <c r="A46" s="5">
        <v>41</v>
      </c>
      <c r="B46" s="5" t="s">
        <v>85</v>
      </c>
      <c r="C46" s="5" t="s">
        <v>211</v>
      </c>
      <c r="D46" s="7">
        <v>5300766.0102000004</v>
      </c>
    </row>
    <row r="47" spans="1:4">
      <c r="A47" s="5">
        <v>42</v>
      </c>
      <c r="B47" s="5" t="s">
        <v>85</v>
      </c>
      <c r="C47" s="5" t="s">
        <v>213</v>
      </c>
      <c r="D47" s="7">
        <v>4063639.2247000001</v>
      </c>
    </row>
    <row r="48" spans="1:4">
      <c r="A48" s="5">
        <v>43</v>
      </c>
      <c r="B48" s="5" t="s">
        <v>85</v>
      </c>
      <c r="C48" s="5" t="s">
        <v>215</v>
      </c>
      <c r="D48" s="7">
        <v>5460863.8470000001</v>
      </c>
    </row>
    <row r="49" spans="1:4">
      <c r="A49" s="5">
        <v>44</v>
      </c>
      <c r="B49" s="5" t="s">
        <v>85</v>
      </c>
      <c r="C49" s="5" t="s">
        <v>217</v>
      </c>
      <c r="D49" s="7">
        <v>4759757.9923999999</v>
      </c>
    </row>
    <row r="50" spans="1:4">
      <c r="A50" s="5">
        <v>45</v>
      </c>
      <c r="B50" s="5" t="s">
        <v>85</v>
      </c>
      <c r="C50" s="5" t="s">
        <v>219</v>
      </c>
      <c r="D50" s="7">
        <v>5398394.5465000002</v>
      </c>
    </row>
    <row r="51" spans="1:4">
      <c r="A51" s="5">
        <v>46</v>
      </c>
      <c r="B51" s="5" t="s">
        <v>85</v>
      </c>
      <c r="C51" s="5" t="s">
        <v>221</v>
      </c>
      <c r="D51" s="7">
        <v>4325458.5466999998</v>
      </c>
    </row>
    <row r="52" spans="1:4">
      <c r="A52" s="5">
        <v>47</v>
      </c>
      <c r="B52" s="5" t="s">
        <v>85</v>
      </c>
      <c r="C52" s="5" t="s">
        <v>223</v>
      </c>
      <c r="D52" s="7">
        <v>5019844.3075000001</v>
      </c>
    </row>
    <row r="53" spans="1:4">
      <c r="A53" s="5">
        <v>48</v>
      </c>
      <c r="B53" s="5" t="s">
        <v>85</v>
      </c>
      <c r="C53" s="5" t="s">
        <v>225</v>
      </c>
      <c r="D53" s="7">
        <v>5461358.2136000004</v>
      </c>
    </row>
    <row r="54" spans="1:4">
      <c r="A54" s="5">
        <v>49</v>
      </c>
      <c r="B54" s="5" t="s">
        <v>85</v>
      </c>
      <c r="C54" s="5" t="s">
        <v>227</v>
      </c>
      <c r="D54" s="7">
        <v>4203212.5098999999</v>
      </c>
    </row>
    <row r="55" spans="1:4">
      <c r="A55" s="5">
        <v>50</v>
      </c>
      <c r="B55" s="5" t="s">
        <v>85</v>
      </c>
      <c r="C55" s="5" t="s">
        <v>229</v>
      </c>
      <c r="D55" s="7">
        <v>4971645.1090000002</v>
      </c>
    </row>
    <row r="56" spans="1:4">
      <c r="A56" s="5">
        <v>51</v>
      </c>
      <c r="B56" s="5" t="s">
        <v>85</v>
      </c>
      <c r="C56" s="5" t="s">
        <v>231</v>
      </c>
      <c r="D56" s="7">
        <v>4973046.8300999999</v>
      </c>
    </row>
    <row r="57" spans="1:4">
      <c r="A57" s="5">
        <v>52</v>
      </c>
      <c r="B57" s="5" t="s">
        <v>85</v>
      </c>
      <c r="C57" s="5" t="s">
        <v>233</v>
      </c>
      <c r="D57" s="7">
        <v>5128958.0109999999</v>
      </c>
    </row>
    <row r="58" spans="1:4">
      <c r="A58" s="5">
        <v>53</v>
      </c>
      <c r="B58" s="5" t="s">
        <v>85</v>
      </c>
      <c r="C58" s="5" t="s">
        <v>235</v>
      </c>
      <c r="D58" s="7">
        <v>4685805.7752</v>
      </c>
    </row>
    <row r="59" spans="1:4">
      <c r="A59" s="5">
        <v>54</v>
      </c>
      <c r="B59" s="5" t="s">
        <v>85</v>
      </c>
      <c r="C59" s="5" t="s">
        <v>237</v>
      </c>
      <c r="D59" s="7">
        <v>4784443.7476000004</v>
      </c>
    </row>
    <row r="60" spans="1:4">
      <c r="A60" s="5">
        <v>55</v>
      </c>
      <c r="B60" s="5" t="s">
        <v>85</v>
      </c>
      <c r="C60" s="5" t="s">
        <v>239</v>
      </c>
      <c r="D60" s="7">
        <v>4465993.8381000003</v>
      </c>
    </row>
    <row r="61" spans="1:4">
      <c r="A61" s="5">
        <v>56</v>
      </c>
      <c r="B61" s="5" t="s">
        <v>85</v>
      </c>
      <c r="C61" s="5" t="s">
        <v>241</v>
      </c>
      <c r="D61" s="7">
        <v>5548571.2830999997</v>
      </c>
    </row>
    <row r="62" spans="1:4">
      <c r="A62" s="5">
        <v>57</v>
      </c>
      <c r="B62" s="5" t="s">
        <v>85</v>
      </c>
      <c r="C62" s="5" t="s">
        <v>243</v>
      </c>
      <c r="D62" s="7">
        <v>4629871.9211999997</v>
      </c>
    </row>
    <row r="63" spans="1:4">
      <c r="A63" s="5">
        <v>58</v>
      </c>
      <c r="B63" s="5" t="s">
        <v>85</v>
      </c>
      <c r="C63" s="5" t="s">
        <v>245</v>
      </c>
      <c r="D63" s="7">
        <v>4871397.2114000004</v>
      </c>
    </row>
    <row r="64" spans="1:4">
      <c r="A64" s="5">
        <v>59</v>
      </c>
      <c r="B64" s="5" t="s">
        <v>85</v>
      </c>
      <c r="C64" s="5" t="s">
        <v>247</v>
      </c>
      <c r="D64" s="7">
        <v>5066960.6407000003</v>
      </c>
    </row>
    <row r="65" spans="1:4">
      <c r="A65" s="5">
        <v>60</v>
      </c>
      <c r="B65" s="5" t="s">
        <v>85</v>
      </c>
      <c r="C65" s="5" t="s">
        <v>249</v>
      </c>
      <c r="D65" s="7">
        <v>4355185.2889</v>
      </c>
    </row>
    <row r="66" spans="1:4">
      <c r="A66" s="5">
        <v>61</v>
      </c>
      <c r="B66" s="5" t="s">
        <v>85</v>
      </c>
      <c r="C66" s="5" t="s">
        <v>251</v>
      </c>
      <c r="D66" s="7">
        <v>4547660.6661999999</v>
      </c>
    </row>
    <row r="67" spans="1:4">
      <c r="A67" s="5">
        <v>62</v>
      </c>
      <c r="B67" s="5" t="s">
        <v>85</v>
      </c>
      <c r="C67" s="5" t="s">
        <v>253</v>
      </c>
      <c r="D67" s="7">
        <v>4658083.5307</v>
      </c>
    </row>
    <row r="68" spans="1:4">
      <c r="A68" s="5">
        <v>63</v>
      </c>
      <c r="B68" s="5" t="s">
        <v>85</v>
      </c>
      <c r="C68" s="5" t="s">
        <v>255</v>
      </c>
      <c r="D68" s="7">
        <v>5488254.2863999996</v>
      </c>
    </row>
    <row r="69" spans="1:4">
      <c r="A69" s="5">
        <v>64</v>
      </c>
      <c r="B69" s="5" t="s">
        <v>85</v>
      </c>
      <c r="C69" s="5" t="s">
        <v>257</v>
      </c>
      <c r="D69" s="7">
        <v>4088237.4345999998</v>
      </c>
    </row>
    <row r="70" spans="1:4">
      <c r="A70" s="5">
        <v>65</v>
      </c>
      <c r="B70" s="5" t="s">
        <v>85</v>
      </c>
      <c r="C70" s="5" t="s">
        <v>259</v>
      </c>
      <c r="D70" s="7">
        <v>5016300.7182</v>
      </c>
    </row>
    <row r="71" spans="1:4">
      <c r="A71" s="5">
        <v>66</v>
      </c>
      <c r="B71" s="5" t="s">
        <v>85</v>
      </c>
      <c r="C71" s="5" t="s">
        <v>261</v>
      </c>
      <c r="D71" s="7">
        <v>4089693.3059</v>
      </c>
    </row>
    <row r="72" spans="1:4">
      <c r="A72" s="5">
        <v>67</v>
      </c>
      <c r="B72" s="5" t="s">
        <v>85</v>
      </c>
      <c r="C72" s="5" t="s">
        <v>263</v>
      </c>
      <c r="D72" s="7">
        <v>5333616.6184999999</v>
      </c>
    </row>
    <row r="73" spans="1:4">
      <c r="A73" s="5">
        <v>68</v>
      </c>
      <c r="B73" s="5" t="s">
        <v>85</v>
      </c>
      <c r="C73" s="5" t="s">
        <v>265</v>
      </c>
      <c r="D73" s="7">
        <v>4413305.1836000001</v>
      </c>
    </row>
    <row r="74" spans="1:4">
      <c r="A74" s="5">
        <v>69</v>
      </c>
      <c r="B74" s="5" t="s">
        <v>85</v>
      </c>
      <c r="C74" s="5" t="s">
        <v>267</v>
      </c>
      <c r="D74" s="7">
        <v>6670925.9937000005</v>
      </c>
    </row>
    <row r="75" spans="1:4">
      <c r="A75" s="5">
        <v>70</v>
      </c>
      <c r="B75" s="5" t="s">
        <v>86</v>
      </c>
      <c r="C75" s="5" t="s">
        <v>272</v>
      </c>
      <c r="D75" s="7">
        <v>7503308.8932999996</v>
      </c>
    </row>
    <row r="76" spans="1:4">
      <c r="A76" s="5">
        <v>71</v>
      </c>
      <c r="B76" s="5" t="s">
        <v>86</v>
      </c>
      <c r="C76" s="5" t="s">
        <v>274</v>
      </c>
      <c r="D76" s="7">
        <v>4934602.9731000001</v>
      </c>
    </row>
    <row r="77" spans="1:4">
      <c r="A77" s="5">
        <v>72</v>
      </c>
      <c r="B77" s="5" t="s">
        <v>86</v>
      </c>
      <c r="C77" s="5" t="s">
        <v>276</v>
      </c>
      <c r="D77" s="7">
        <v>5076310.9929999998</v>
      </c>
    </row>
    <row r="78" spans="1:4">
      <c r="A78" s="5">
        <v>73</v>
      </c>
      <c r="B78" s="5" t="s">
        <v>86</v>
      </c>
      <c r="C78" s="5" t="s">
        <v>278</v>
      </c>
      <c r="D78" s="7">
        <v>6135712.1556000002</v>
      </c>
    </row>
    <row r="79" spans="1:4">
      <c r="A79" s="5">
        <v>74</v>
      </c>
      <c r="B79" s="5" t="s">
        <v>86</v>
      </c>
      <c r="C79" s="5" t="s">
        <v>280</v>
      </c>
      <c r="D79" s="7">
        <v>4659873.7652000003</v>
      </c>
    </row>
    <row r="80" spans="1:4">
      <c r="A80" s="5">
        <v>75</v>
      </c>
      <c r="B80" s="5" t="s">
        <v>86</v>
      </c>
      <c r="C80" s="5" t="s">
        <v>282</v>
      </c>
      <c r="D80" s="7">
        <v>5364553.8004999999</v>
      </c>
    </row>
    <row r="81" spans="1:4">
      <c r="A81" s="5">
        <v>76</v>
      </c>
      <c r="B81" s="5" t="s">
        <v>86</v>
      </c>
      <c r="C81" s="5" t="s">
        <v>284</v>
      </c>
      <c r="D81" s="7">
        <v>4971731.1961000003</v>
      </c>
    </row>
    <row r="82" spans="1:4">
      <c r="A82" s="5">
        <v>77</v>
      </c>
      <c r="B82" s="5" t="s">
        <v>86</v>
      </c>
      <c r="C82" s="5" t="s">
        <v>286</v>
      </c>
      <c r="D82" s="7">
        <v>4445345.4446999999</v>
      </c>
    </row>
    <row r="83" spans="1:4">
      <c r="A83" s="5">
        <v>78</v>
      </c>
      <c r="B83" s="5" t="s">
        <v>86</v>
      </c>
      <c r="C83" s="5" t="s">
        <v>288</v>
      </c>
      <c r="D83" s="7">
        <v>4937389.4108999996</v>
      </c>
    </row>
    <row r="84" spans="1:4">
      <c r="A84" s="5">
        <v>79</v>
      </c>
      <c r="B84" s="5" t="s">
        <v>86</v>
      </c>
      <c r="C84" s="5" t="s">
        <v>290</v>
      </c>
      <c r="D84" s="7">
        <v>7811128.0332000004</v>
      </c>
    </row>
    <row r="85" spans="1:4">
      <c r="A85" s="5">
        <v>80</v>
      </c>
      <c r="B85" s="5" t="s">
        <v>86</v>
      </c>
      <c r="C85" s="5" t="s">
        <v>292</v>
      </c>
      <c r="D85" s="7">
        <v>5428743.4161</v>
      </c>
    </row>
    <row r="86" spans="1:4">
      <c r="A86" s="5">
        <v>81</v>
      </c>
      <c r="B86" s="5" t="s">
        <v>86</v>
      </c>
      <c r="C86" s="5" t="s">
        <v>294</v>
      </c>
      <c r="D86" s="7">
        <v>6637183.8783</v>
      </c>
    </row>
    <row r="87" spans="1:4">
      <c r="A87" s="5">
        <v>82</v>
      </c>
      <c r="B87" s="5" t="s">
        <v>86</v>
      </c>
      <c r="C87" s="5" t="s">
        <v>296</v>
      </c>
      <c r="D87" s="7">
        <v>4876636.0536000002</v>
      </c>
    </row>
    <row r="88" spans="1:4">
      <c r="A88" s="5">
        <v>83</v>
      </c>
      <c r="B88" s="5" t="s">
        <v>86</v>
      </c>
      <c r="C88" s="5" t="s">
        <v>298</v>
      </c>
      <c r="D88" s="7">
        <v>4835213.6651999997</v>
      </c>
    </row>
    <row r="89" spans="1:4">
      <c r="A89" s="5">
        <v>84</v>
      </c>
      <c r="B89" s="5" t="s">
        <v>86</v>
      </c>
      <c r="C89" s="5" t="s">
        <v>300</v>
      </c>
      <c r="D89" s="7">
        <v>5803315.1704000002</v>
      </c>
    </row>
    <row r="90" spans="1:4">
      <c r="A90" s="5">
        <v>85</v>
      </c>
      <c r="B90" s="5" t="s">
        <v>86</v>
      </c>
      <c r="C90" s="5" t="s">
        <v>302</v>
      </c>
      <c r="D90" s="7">
        <v>5545231.8638000004</v>
      </c>
    </row>
    <row r="91" spans="1:4">
      <c r="A91" s="5">
        <v>86</v>
      </c>
      <c r="B91" s="5" t="s">
        <v>86</v>
      </c>
      <c r="C91" s="5" t="s">
        <v>303</v>
      </c>
      <c r="D91" s="7">
        <v>4645372.6232000003</v>
      </c>
    </row>
    <row r="92" spans="1:4">
      <c r="A92" s="5">
        <v>87</v>
      </c>
      <c r="B92" s="5" t="s">
        <v>86</v>
      </c>
      <c r="C92" s="5" t="s">
        <v>305</v>
      </c>
      <c r="D92" s="7">
        <v>4813452.0971999997</v>
      </c>
    </row>
    <row r="93" spans="1:4">
      <c r="A93" s="5">
        <v>88</v>
      </c>
      <c r="B93" s="5" t="s">
        <v>86</v>
      </c>
      <c r="C93" s="5" t="s">
        <v>307</v>
      </c>
      <c r="D93" s="7">
        <v>5198119.5625999998</v>
      </c>
    </row>
    <row r="94" spans="1:4">
      <c r="A94" s="5">
        <v>89</v>
      </c>
      <c r="B94" s="5" t="s">
        <v>86</v>
      </c>
      <c r="C94" s="5" t="s">
        <v>309</v>
      </c>
      <c r="D94" s="7">
        <v>5260365.5641000001</v>
      </c>
    </row>
    <row r="95" spans="1:4">
      <c r="A95" s="5">
        <v>90</v>
      </c>
      <c r="B95" s="5" t="s">
        <v>86</v>
      </c>
      <c r="C95" s="5" t="s">
        <v>311</v>
      </c>
      <c r="D95" s="7">
        <v>5050725.5833999999</v>
      </c>
    </row>
    <row r="96" spans="1:4">
      <c r="A96" s="5">
        <v>91</v>
      </c>
      <c r="B96" s="5" t="s">
        <v>87</v>
      </c>
      <c r="C96" s="5" t="s">
        <v>316</v>
      </c>
      <c r="D96" s="7">
        <v>8516069.3676999994</v>
      </c>
    </row>
    <row r="97" spans="1:4">
      <c r="A97" s="5">
        <v>92</v>
      </c>
      <c r="B97" s="5" t="s">
        <v>87</v>
      </c>
      <c r="C97" s="5" t="s">
        <v>87</v>
      </c>
      <c r="D97" s="7">
        <v>10284050.685699999</v>
      </c>
    </row>
    <row r="98" spans="1:4">
      <c r="A98" s="5">
        <v>93</v>
      </c>
      <c r="B98" s="5" t="s">
        <v>87</v>
      </c>
      <c r="C98" s="5" t="s">
        <v>319</v>
      </c>
      <c r="D98" s="7">
        <v>4497693.2291999999</v>
      </c>
    </row>
    <row r="99" spans="1:4">
      <c r="A99" s="5">
        <v>94</v>
      </c>
      <c r="B99" s="5" t="s">
        <v>87</v>
      </c>
      <c r="C99" s="5" t="s">
        <v>321</v>
      </c>
      <c r="D99" s="7">
        <v>5315538.5350000001</v>
      </c>
    </row>
    <row r="100" spans="1:4">
      <c r="A100" s="5">
        <v>95</v>
      </c>
      <c r="B100" s="5" t="s">
        <v>87</v>
      </c>
      <c r="C100" s="5" t="s">
        <v>323</v>
      </c>
      <c r="D100" s="7">
        <v>6742979.5410000002</v>
      </c>
    </row>
    <row r="101" spans="1:4">
      <c r="A101" s="5">
        <v>96</v>
      </c>
      <c r="B101" s="5" t="s">
        <v>87</v>
      </c>
      <c r="C101" s="5" t="s">
        <v>325</v>
      </c>
      <c r="D101" s="7">
        <v>4465098.3032999998</v>
      </c>
    </row>
    <row r="102" spans="1:4">
      <c r="A102" s="5">
        <v>97</v>
      </c>
      <c r="B102" s="5" t="s">
        <v>87</v>
      </c>
      <c r="C102" s="5" t="s">
        <v>327</v>
      </c>
      <c r="D102" s="7">
        <v>7123492.4524999997</v>
      </c>
    </row>
    <row r="103" spans="1:4">
      <c r="A103" s="5">
        <v>98</v>
      </c>
      <c r="B103" s="5" t="s">
        <v>87</v>
      </c>
      <c r="C103" s="5" t="s">
        <v>329</v>
      </c>
      <c r="D103" s="7">
        <v>7190958.0226999996</v>
      </c>
    </row>
    <row r="104" spans="1:4">
      <c r="A104" s="5">
        <v>99</v>
      </c>
      <c r="B104" s="5" t="s">
        <v>87</v>
      </c>
      <c r="C104" s="5" t="s">
        <v>331</v>
      </c>
      <c r="D104" s="7">
        <v>5058043.0445999997</v>
      </c>
    </row>
    <row r="105" spans="1:4">
      <c r="A105" s="5">
        <v>100</v>
      </c>
      <c r="B105" s="5" t="s">
        <v>87</v>
      </c>
      <c r="C105" s="5" t="s">
        <v>332</v>
      </c>
      <c r="D105" s="7">
        <v>5792935.4609000003</v>
      </c>
    </row>
    <row r="106" spans="1:4">
      <c r="A106" s="5">
        <v>101</v>
      </c>
      <c r="B106" s="5" t="s">
        <v>87</v>
      </c>
      <c r="C106" s="5" t="s">
        <v>334</v>
      </c>
      <c r="D106" s="7">
        <v>4482390.2917999998</v>
      </c>
    </row>
    <row r="107" spans="1:4">
      <c r="A107" s="5">
        <v>102</v>
      </c>
      <c r="B107" s="5" t="s">
        <v>87</v>
      </c>
      <c r="C107" s="5" t="s">
        <v>336</v>
      </c>
      <c r="D107" s="7">
        <v>6941448.4517999999</v>
      </c>
    </row>
    <row r="108" spans="1:4">
      <c r="A108" s="5">
        <v>103</v>
      </c>
      <c r="B108" s="5" t="s">
        <v>87</v>
      </c>
      <c r="C108" s="5" t="s">
        <v>338</v>
      </c>
      <c r="D108" s="7">
        <v>5709010.0809000004</v>
      </c>
    </row>
    <row r="109" spans="1:4">
      <c r="A109" s="5">
        <v>104</v>
      </c>
      <c r="B109" s="5" t="s">
        <v>87</v>
      </c>
      <c r="C109" s="5" t="s">
        <v>340</v>
      </c>
      <c r="D109" s="7">
        <v>6666328.6590999998</v>
      </c>
    </row>
    <row r="110" spans="1:4">
      <c r="A110" s="5">
        <v>105</v>
      </c>
      <c r="B110" s="5" t="s">
        <v>87</v>
      </c>
      <c r="C110" s="5" t="s">
        <v>342</v>
      </c>
      <c r="D110" s="7">
        <v>8542752.7302999999</v>
      </c>
    </row>
    <row r="111" spans="1:4">
      <c r="A111" s="5">
        <v>106</v>
      </c>
      <c r="B111" s="5" t="s">
        <v>87</v>
      </c>
      <c r="C111" s="5" t="s">
        <v>344</v>
      </c>
      <c r="D111" s="7">
        <v>6404332.0738000004</v>
      </c>
    </row>
    <row r="112" spans="1:4">
      <c r="A112" s="5">
        <v>107</v>
      </c>
      <c r="B112" s="5" t="s">
        <v>87</v>
      </c>
      <c r="C112" s="5" t="s">
        <v>346</v>
      </c>
      <c r="D112" s="7">
        <v>6299151.6574999997</v>
      </c>
    </row>
    <row r="113" spans="1:4">
      <c r="A113" s="5">
        <v>108</v>
      </c>
      <c r="B113" s="5" t="s">
        <v>87</v>
      </c>
      <c r="C113" s="5" t="s">
        <v>348</v>
      </c>
      <c r="D113" s="7">
        <v>8858558.1927000005</v>
      </c>
    </row>
    <row r="114" spans="1:4">
      <c r="A114" s="5">
        <v>109</v>
      </c>
      <c r="B114" s="5" t="s">
        <v>87</v>
      </c>
      <c r="C114" s="5" t="s">
        <v>350</v>
      </c>
      <c r="D114" s="7">
        <v>4930301.3335999995</v>
      </c>
    </row>
    <row r="115" spans="1:4">
      <c r="A115" s="5">
        <v>110</v>
      </c>
      <c r="B115" s="5" t="s">
        <v>87</v>
      </c>
      <c r="C115" s="5" t="s">
        <v>352</v>
      </c>
      <c r="D115" s="7">
        <v>5516862.8892000001</v>
      </c>
    </row>
    <row r="116" spans="1:4">
      <c r="A116" s="5">
        <v>111</v>
      </c>
      <c r="B116" s="5" t="s">
        <v>88</v>
      </c>
      <c r="C116" s="5" t="s">
        <v>357</v>
      </c>
      <c r="D116" s="7">
        <v>6264807.466</v>
      </c>
    </row>
    <row r="117" spans="1:4">
      <c r="A117" s="5">
        <v>112</v>
      </c>
      <c r="B117" s="5" t="s">
        <v>88</v>
      </c>
      <c r="C117" s="5" t="s">
        <v>359</v>
      </c>
      <c r="D117" s="7">
        <v>7192031.4522000002</v>
      </c>
    </row>
    <row r="118" spans="1:4">
      <c r="A118" s="5">
        <v>113</v>
      </c>
      <c r="B118" s="5" t="s">
        <v>88</v>
      </c>
      <c r="C118" s="5" t="s">
        <v>361</v>
      </c>
      <c r="D118" s="7">
        <v>4786304.5707999999</v>
      </c>
    </row>
    <row r="119" spans="1:4">
      <c r="A119" s="5">
        <v>114</v>
      </c>
      <c r="B119" s="5" t="s">
        <v>88</v>
      </c>
      <c r="C119" s="5" t="s">
        <v>363</v>
      </c>
      <c r="D119" s="7">
        <v>5901729.7681999998</v>
      </c>
    </row>
    <row r="120" spans="1:4">
      <c r="A120" s="5">
        <v>115</v>
      </c>
      <c r="B120" s="5" t="s">
        <v>88</v>
      </c>
      <c r="C120" s="5" t="s">
        <v>365</v>
      </c>
      <c r="D120" s="7">
        <v>6202203.4494000003</v>
      </c>
    </row>
    <row r="121" spans="1:4">
      <c r="A121" s="5">
        <v>116</v>
      </c>
      <c r="B121" s="5" t="s">
        <v>88</v>
      </c>
      <c r="C121" s="5" t="s">
        <v>367</v>
      </c>
      <c r="D121" s="7">
        <v>6097728.7856000001</v>
      </c>
    </row>
    <row r="122" spans="1:4">
      <c r="A122" s="5">
        <v>117</v>
      </c>
      <c r="B122" s="5" t="s">
        <v>88</v>
      </c>
      <c r="C122" s="5" t="s">
        <v>369</v>
      </c>
      <c r="D122" s="7">
        <v>8424429.4165000003</v>
      </c>
    </row>
    <row r="123" spans="1:4">
      <c r="A123" s="5">
        <v>118</v>
      </c>
      <c r="B123" s="5" t="s">
        <v>88</v>
      </c>
      <c r="C123" s="5" t="s">
        <v>371</v>
      </c>
      <c r="D123" s="7">
        <v>7776063.2593</v>
      </c>
    </row>
    <row r="124" spans="1:4">
      <c r="A124" s="5">
        <v>119</v>
      </c>
      <c r="B124" s="5" t="s">
        <v>89</v>
      </c>
      <c r="C124" s="5" t="s">
        <v>376</v>
      </c>
      <c r="D124" s="7">
        <v>6196110.9159000004</v>
      </c>
    </row>
    <row r="125" spans="1:4">
      <c r="A125" s="5">
        <v>120</v>
      </c>
      <c r="B125" s="5" t="s">
        <v>89</v>
      </c>
      <c r="C125" s="5" t="s">
        <v>378</v>
      </c>
      <c r="D125" s="7">
        <v>5467130.3631999996</v>
      </c>
    </row>
    <row r="126" spans="1:4">
      <c r="A126" s="5">
        <v>121</v>
      </c>
      <c r="B126" s="5" t="s">
        <v>89</v>
      </c>
      <c r="C126" s="5" t="s">
        <v>380</v>
      </c>
      <c r="D126" s="7">
        <v>5293807.6081999997</v>
      </c>
    </row>
    <row r="127" spans="1:4">
      <c r="A127" s="5">
        <v>122</v>
      </c>
      <c r="B127" s="5" t="s">
        <v>89</v>
      </c>
      <c r="C127" s="5" t="s">
        <v>382</v>
      </c>
      <c r="D127" s="7">
        <v>6275739.7231000001</v>
      </c>
    </row>
    <row r="128" spans="1:4">
      <c r="A128" s="5">
        <v>123</v>
      </c>
      <c r="B128" s="5" t="s">
        <v>89</v>
      </c>
      <c r="C128" s="5" t="s">
        <v>384</v>
      </c>
      <c r="D128" s="7">
        <v>8144933.0574000003</v>
      </c>
    </row>
    <row r="129" spans="1:4">
      <c r="A129" s="5">
        <v>124</v>
      </c>
      <c r="B129" s="5" t="s">
        <v>89</v>
      </c>
      <c r="C129" s="5" t="s">
        <v>386</v>
      </c>
      <c r="D129" s="7">
        <v>6654512.3932999996</v>
      </c>
    </row>
    <row r="130" spans="1:4">
      <c r="A130" s="5">
        <v>125</v>
      </c>
      <c r="B130" s="5" t="s">
        <v>89</v>
      </c>
      <c r="C130" s="5" t="s">
        <v>388</v>
      </c>
      <c r="D130" s="7">
        <v>6312426.1935000001</v>
      </c>
    </row>
    <row r="131" spans="1:4">
      <c r="A131" s="5">
        <v>126</v>
      </c>
      <c r="B131" s="5" t="s">
        <v>89</v>
      </c>
      <c r="C131" s="5" t="s">
        <v>390</v>
      </c>
      <c r="D131" s="7">
        <v>5424599.2427000003</v>
      </c>
    </row>
    <row r="132" spans="1:4">
      <c r="A132" s="5">
        <v>127</v>
      </c>
      <c r="B132" s="5" t="s">
        <v>89</v>
      </c>
      <c r="C132" s="5" t="s">
        <v>392</v>
      </c>
      <c r="D132" s="7">
        <v>6852667.9482000005</v>
      </c>
    </row>
    <row r="133" spans="1:4">
      <c r="A133" s="5">
        <v>128</v>
      </c>
      <c r="B133" s="5" t="s">
        <v>89</v>
      </c>
      <c r="C133" s="5" t="s">
        <v>394</v>
      </c>
      <c r="D133" s="7">
        <v>6483400.7286</v>
      </c>
    </row>
    <row r="134" spans="1:4">
      <c r="A134" s="5">
        <v>129</v>
      </c>
      <c r="B134" s="5" t="s">
        <v>89</v>
      </c>
      <c r="C134" s="5" t="s">
        <v>396</v>
      </c>
      <c r="D134" s="7">
        <v>7423061.1344999997</v>
      </c>
    </row>
    <row r="135" spans="1:4">
      <c r="A135" s="5">
        <v>130</v>
      </c>
      <c r="B135" s="5" t="s">
        <v>89</v>
      </c>
      <c r="C135" s="5" t="s">
        <v>398</v>
      </c>
      <c r="D135" s="7">
        <v>5700473.7255999995</v>
      </c>
    </row>
    <row r="136" spans="1:4">
      <c r="A136" s="5">
        <v>131</v>
      </c>
      <c r="B136" s="5" t="s">
        <v>89</v>
      </c>
      <c r="C136" s="5" t="s">
        <v>400</v>
      </c>
      <c r="D136" s="7">
        <v>6847608.8004000001</v>
      </c>
    </row>
    <row r="137" spans="1:4">
      <c r="A137" s="5">
        <v>132</v>
      </c>
      <c r="B137" s="5" t="s">
        <v>89</v>
      </c>
      <c r="C137" s="5" t="s">
        <v>402</v>
      </c>
      <c r="D137" s="7">
        <v>5058356.0208999999</v>
      </c>
    </row>
    <row r="138" spans="1:4">
      <c r="A138" s="5">
        <v>133</v>
      </c>
      <c r="B138" s="5" t="s">
        <v>89</v>
      </c>
      <c r="C138" s="5" t="s">
        <v>404</v>
      </c>
      <c r="D138" s="7">
        <v>5313910.0336999996</v>
      </c>
    </row>
    <row r="139" spans="1:4">
      <c r="A139" s="5">
        <v>134</v>
      </c>
      <c r="B139" s="5" t="s">
        <v>89</v>
      </c>
      <c r="C139" s="5" t="s">
        <v>406</v>
      </c>
      <c r="D139" s="7">
        <v>4846933.9982000003</v>
      </c>
    </row>
    <row r="140" spans="1:4">
      <c r="A140" s="5">
        <v>135</v>
      </c>
      <c r="B140" s="5" t="s">
        <v>89</v>
      </c>
      <c r="C140" s="5" t="s">
        <v>408</v>
      </c>
      <c r="D140" s="7">
        <v>6132852.1863000002</v>
      </c>
    </row>
    <row r="141" spans="1:4">
      <c r="A141" s="5">
        <v>136</v>
      </c>
      <c r="B141" s="5" t="s">
        <v>89</v>
      </c>
      <c r="C141" s="5" t="s">
        <v>410</v>
      </c>
      <c r="D141" s="7">
        <v>5747105.6917000003</v>
      </c>
    </row>
    <row r="142" spans="1:4">
      <c r="A142" s="5">
        <v>137</v>
      </c>
      <c r="B142" s="5" t="s">
        <v>89</v>
      </c>
      <c r="C142" s="5" t="s">
        <v>412</v>
      </c>
      <c r="D142" s="7">
        <v>6730918.6491</v>
      </c>
    </row>
    <row r="143" spans="1:4">
      <c r="A143" s="5">
        <v>138</v>
      </c>
      <c r="B143" s="5" t="s">
        <v>89</v>
      </c>
      <c r="C143" s="5" t="s">
        <v>414</v>
      </c>
      <c r="D143" s="7">
        <v>4665049.9560000002</v>
      </c>
    </row>
    <row r="144" spans="1:4">
      <c r="A144" s="5">
        <v>139</v>
      </c>
      <c r="B144" s="5" t="s">
        <v>89</v>
      </c>
      <c r="C144" s="5" t="s">
        <v>416</v>
      </c>
      <c r="D144" s="7">
        <v>6378631.6744999997</v>
      </c>
    </row>
    <row r="145" spans="1:4">
      <c r="A145" s="5">
        <v>140</v>
      </c>
      <c r="B145" s="5" t="s">
        <v>89</v>
      </c>
      <c r="C145" s="5" t="s">
        <v>418</v>
      </c>
      <c r="D145" s="7">
        <v>6210989.3157000002</v>
      </c>
    </row>
    <row r="146" spans="1:4">
      <c r="A146" s="5">
        <v>141</v>
      </c>
      <c r="B146" s="5" t="s">
        <v>89</v>
      </c>
      <c r="C146" s="5" t="s">
        <v>420</v>
      </c>
      <c r="D146" s="7">
        <v>6578536.6805999996</v>
      </c>
    </row>
    <row r="147" spans="1:4">
      <c r="A147" s="5">
        <v>142</v>
      </c>
      <c r="B147" s="5" t="s">
        <v>90</v>
      </c>
      <c r="C147" s="5" t="s">
        <v>424</v>
      </c>
      <c r="D147" s="7">
        <v>5524653.3563000001</v>
      </c>
    </row>
    <row r="148" spans="1:4">
      <c r="A148" s="5">
        <v>143</v>
      </c>
      <c r="B148" s="5" t="s">
        <v>90</v>
      </c>
      <c r="C148" s="5" t="s">
        <v>426</v>
      </c>
      <c r="D148" s="7">
        <v>5342137.9697000002</v>
      </c>
    </row>
    <row r="149" spans="1:4">
      <c r="A149" s="5">
        <v>144</v>
      </c>
      <c r="B149" s="5" t="s">
        <v>90</v>
      </c>
      <c r="C149" s="5" t="s">
        <v>428</v>
      </c>
      <c r="D149" s="7">
        <v>7494788.1434000004</v>
      </c>
    </row>
    <row r="150" spans="1:4">
      <c r="A150" s="5">
        <v>145</v>
      </c>
      <c r="B150" s="5" t="s">
        <v>90</v>
      </c>
      <c r="C150" s="5" t="s">
        <v>430</v>
      </c>
      <c r="D150" s="7">
        <v>4317224.5902000004</v>
      </c>
    </row>
    <row r="151" spans="1:4">
      <c r="A151" s="5">
        <v>146</v>
      </c>
      <c r="B151" s="5" t="s">
        <v>90</v>
      </c>
      <c r="C151" s="5" t="s">
        <v>432</v>
      </c>
      <c r="D151" s="7">
        <v>5975389.5789000001</v>
      </c>
    </row>
    <row r="152" spans="1:4">
      <c r="A152" s="5">
        <v>147</v>
      </c>
      <c r="B152" s="5" t="s">
        <v>90</v>
      </c>
      <c r="C152" s="5" t="s">
        <v>434</v>
      </c>
      <c r="D152" s="7">
        <v>4304643.3178000003</v>
      </c>
    </row>
    <row r="153" spans="1:4">
      <c r="A153" s="5">
        <v>148</v>
      </c>
      <c r="B153" s="5" t="s">
        <v>90</v>
      </c>
      <c r="C153" s="5" t="s">
        <v>436</v>
      </c>
      <c r="D153" s="7">
        <v>7215978.7866000002</v>
      </c>
    </row>
    <row r="154" spans="1:4">
      <c r="A154" s="5">
        <v>149</v>
      </c>
      <c r="B154" s="5" t="s">
        <v>90</v>
      </c>
      <c r="C154" s="5" t="s">
        <v>438</v>
      </c>
      <c r="D154" s="7">
        <v>4775286.0524000004</v>
      </c>
    </row>
    <row r="155" spans="1:4">
      <c r="A155" s="5">
        <v>150</v>
      </c>
      <c r="B155" s="5" t="s">
        <v>90</v>
      </c>
      <c r="C155" s="5" t="s">
        <v>440</v>
      </c>
      <c r="D155" s="7">
        <v>5671376.2928999998</v>
      </c>
    </row>
    <row r="156" spans="1:4">
      <c r="A156" s="5">
        <v>151</v>
      </c>
      <c r="B156" s="5" t="s">
        <v>90</v>
      </c>
      <c r="C156" s="5" t="s">
        <v>442</v>
      </c>
      <c r="D156" s="7">
        <v>4834065.9491999997</v>
      </c>
    </row>
    <row r="157" spans="1:4">
      <c r="A157" s="5">
        <v>152</v>
      </c>
      <c r="B157" s="5" t="s">
        <v>90</v>
      </c>
      <c r="C157" s="5" t="s">
        <v>444</v>
      </c>
      <c r="D157" s="7">
        <v>6964910.4705999997</v>
      </c>
    </row>
    <row r="158" spans="1:4">
      <c r="A158" s="5">
        <v>153</v>
      </c>
      <c r="B158" s="5" t="s">
        <v>90</v>
      </c>
      <c r="C158" s="5" t="s">
        <v>446</v>
      </c>
      <c r="D158" s="7">
        <v>4932660.8230999997</v>
      </c>
    </row>
    <row r="159" spans="1:4">
      <c r="A159" s="5">
        <v>154</v>
      </c>
      <c r="B159" s="5" t="s">
        <v>90</v>
      </c>
      <c r="C159" s="5" t="s">
        <v>448</v>
      </c>
      <c r="D159" s="7">
        <v>5691141.6807000004</v>
      </c>
    </row>
    <row r="160" spans="1:4">
      <c r="A160" s="5">
        <v>155</v>
      </c>
      <c r="B160" s="5" t="s">
        <v>90</v>
      </c>
      <c r="C160" s="5" t="s">
        <v>450</v>
      </c>
      <c r="D160" s="7">
        <v>5030672.72</v>
      </c>
    </row>
    <row r="161" spans="1:4">
      <c r="A161" s="5">
        <v>156</v>
      </c>
      <c r="B161" s="5" t="s">
        <v>90</v>
      </c>
      <c r="C161" s="5" t="s">
        <v>452</v>
      </c>
      <c r="D161" s="7">
        <v>4629625.2280000001</v>
      </c>
    </row>
    <row r="162" spans="1:4">
      <c r="A162" s="5">
        <v>157</v>
      </c>
      <c r="B162" s="5" t="s">
        <v>90</v>
      </c>
      <c r="C162" s="5" t="s">
        <v>454</v>
      </c>
      <c r="D162" s="7">
        <v>6783696.7823999999</v>
      </c>
    </row>
    <row r="163" spans="1:4">
      <c r="A163" s="5">
        <v>158</v>
      </c>
      <c r="B163" s="5" t="s">
        <v>90</v>
      </c>
      <c r="C163" s="5" t="s">
        <v>456</v>
      </c>
      <c r="D163" s="7">
        <v>6991289.1262999997</v>
      </c>
    </row>
    <row r="164" spans="1:4">
      <c r="A164" s="5">
        <v>159</v>
      </c>
      <c r="B164" s="5" t="s">
        <v>90</v>
      </c>
      <c r="C164" s="5" t="s">
        <v>458</v>
      </c>
      <c r="D164" s="7">
        <v>3892753.2082000002</v>
      </c>
    </row>
    <row r="165" spans="1:4">
      <c r="A165" s="5">
        <v>160</v>
      </c>
      <c r="B165" s="5" t="s">
        <v>90</v>
      </c>
      <c r="C165" s="5" t="s">
        <v>460</v>
      </c>
      <c r="D165" s="7">
        <v>5244295.7487000003</v>
      </c>
    </row>
    <row r="166" spans="1:4">
      <c r="A166" s="5">
        <v>161</v>
      </c>
      <c r="B166" s="5" t="s">
        <v>90</v>
      </c>
      <c r="C166" s="5" t="s">
        <v>462</v>
      </c>
      <c r="D166" s="7">
        <v>6206055.7153000003</v>
      </c>
    </row>
    <row r="167" spans="1:4">
      <c r="A167" s="5">
        <v>162</v>
      </c>
      <c r="B167" s="5" t="s">
        <v>90</v>
      </c>
      <c r="C167" s="5" t="s">
        <v>464</v>
      </c>
      <c r="D167" s="7">
        <v>9037500.0993000008</v>
      </c>
    </row>
    <row r="168" spans="1:4">
      <c r="A168" s="5">
        <v>163</v>
      </c>
      <c r="B168" s="5" t="s">
        <v>90</v>
      </c>
      <c r="C168" s="5" t="s">
        <v>466</v>
      </c>
      <c r="D168" s="7">
        <v>5643549.1456000004</v>
      </c>
    </row>
    <row r="169" spans="1:4">
      <c r="A169" s="5">
        <v>164</v>
      </c>
      <c r="B169" s="5" t="s">
        <v>90</v>
      </c>
      <c r="C169" s="5" t="s">
        <v>468</v>
      </c>
      <c r="D169" s="7">
        <v>5255381.7602000004</v>
      </c>
    </row>
    <row r="170" spans="1:4">
      <c r="A170" s="5">
        <v>165</v>
      </c>
      <c r="B170" s="5" t="s">
        <v>90</v>
      </c>
      <c r="C170" s="5" t="s">
        <v>470</v>
      </c>
      <c r="D170" s="7">
        <v>5129750.8794999998</v>
      </c>
    </row>
    <row r="171" spans="1:4">
      <c r="A171" s="5">
        <v>166</v>
      </c>
      <c r="B171" s="5" t="s">
        <v>90</v>
      </c>
      <c r="C171" s="5" t="s">
        <v>472</v>
      </c>
      <c r="D171" s="7">
        <v>5866736.0215999996</v>
      </c>
    </row>
    <row r="172" spans="1:4">
      <c r="A172" s="5">
        <v>167</v>
      </c>
      <c r="B172" s="5" t="s">
        <v>90</v>
      </c>
      <c r="C172" s="5" t="s">
        <v>474</v>
      </c>
      <c r="D172" s="7">
        <v>5099654.6184999999</v>
      </c>
    </row>
    <row r="173" spans="1:4">
      <c r="A173" s="5">
        <v>168</v>
      </c>
      <c r="B173" s="5" t="s">
        <v>90</v>
      </c>
      <c r="C173" s="5" t="s">
        <v>476</v>
      </c>
      <c r="D173" s="7">
        <v>4945980.6542999996</v>
      </c>
    </row>
    <row r="174" spans="1:4">
      <c r="A174" s="5">
        <v>169</v>
      </c>
      <c r="B174" s="5" t="s">
        <v>91</v>
      </c>
      <c r="C174" s="5" t="s">
        <v>481</v>
      </c>
      <c r="D174" s="7">
        <v>5243396.3957000002</v>
      </c>
    </row>
    <row r="175" spans="1:4">
      <c r="A175" s="5">
        <v>170</v>
      </c>
      <c r="B175" s="5" t="s">
        <v>91</v>
      </c>
      <c r="C175" s="5" t="s">
        <v>483</v>
      </c>
      <c r="D175" s="7">
        <v>6590885.6594000002</v>
      </c>
    </row>
    <row r="176" spans="1:4">
      <c r="A176" s="5">
        <v>171</v>
      </c>
      <c r="B176" s="5" t="s">
        <v>91</v>
      </c>
      <c r="C176" s="5" t="s">
        <v>485</v>
      </c>
      <c r="D176" s="7">
        <v>6309418.3912000004</v>
      </c>
    </row>
    <row r="177" spans="1:4">
      <c r="A177" s="5">
        <v>172</v>
      </c>
      <c r="B177" s="5" t="s">
        <v>91</v>
      </c>
      <c r="C177" s="5" t="s">
        <v>487</v>
      </c>
      <c r="D177" s="7">
        <v>4070947.2288000002</v>
      </c>
    </row>
    <row r="178" spans="1:4">
      <c r="A178" s="5">
        <v>173</v>
      </c>
      <c r="B178" s="5" t="s">
        <v>91</v>
      </c>
      <c r="C178" s="5" t="s">
        <v>489</v>
      </c>
      <c r="D178" s="7">
        <v>4863037.9155999999</v>
      </c>
    </row>
    <row r="179" spans="1:4">
      <c r="A179" s="5">
        <v>174</v>
      </c>
      <c r="B179" s="5" t="s">
        <v>91</v>
      </c>
      <c r="C179" s="5" t="s">
        <v>491</v>
      </c>
      <c r="D179" s="7">
        <v>5594564.4116000002</v>
      </c>
    </row>
    <row r="180" spans="1:4">
      <c r="A180" s="5">
        <v>175</v>
      </c>
      <c r="B180" s="5" t="s">
        <v>91</v>
      </c>
      <c r="C180" s="5" t="s">
        <v>493</v>
      </c>
      <c r="D180" s="7">
        <v>6413873.0941000003</v>
      </c>
    </row>
    <row r="181" spans="1:4">
      <c r="A181" s="5">
        <v>176</v>
      </c>
      <c r="B181" s="5" t="s">
        <v>91</v>
      </c>
      <c r="C181" s="5" t="s">
        <v>495</v>
      </c>
      <c r="D181" s="7">
        <v>5080774.8425000003</v>
      </c>
    </row>
    <row r="182" spans="1:4">
      <c r="A182" s="5">
        <v>177</v>
      </c>
      <c r="B182" s="5" t="s">
        <v>91</v>
      </c>
      <c r="C182" s="5" t="s">
        <v>497</v>
      </c>
      <c r="D182" s="7">
        <v>5415479.7243999997</v>
      </c>
    </row>
    <row r="183" spans="1:4">
      <c r="A183" s="5">
        <v>178</v>
      </c>
      <c r="B183" s="5" t="s">
        <v>91</v>
      </c>
      <c r="C183" s="5" t="s">
        <v>499</v>
      </c>
      <c r="D183" s="7">
        <v>4240531.6728999997</v>
      </c>
    </row>
    <row r="184" spans="1:4">
      <c r="A184" s="5">
        <v>179</v>
      </c>
      <c r="B184" s="5" t="s">
        <v>91</v>
      </c>
      <c r="C184" s="5" t="s">
        <v>501</v>
      </c>
      <c r="D184" s="7">
        <v>5786145.6741000004</v>
      </c>
    </row>
    <row r="185" spans="1:4">
      <c r="A185" s="5">
        <v>180</v>
      </c>
      <c r="B185" s="5" t="s">
        <v>91</v>
      </c>
      <c r="C185" s="5" t="s">
        <v>503</v>
      </c>
      <c r="D185" s="7">
        <v>4993326.9463</v>
      </c>
    </row>
    <row r="186" spans="1:4">
      <c r="A186" s="5">
        <v>181</v>
      </c>
      <c r="B186" s="5" t="s">
        <v>91</v>
      </c>
      <c r="C186" s="5" t="s">
        <v>505</v>
      </c>
      <c r="D186" s="7">
        <v>5503400.7797999997</v>
      </c>
    </row>
    <row r="187" spans="1:4">
      <c r="A187" s="5">
        <v>182</v>
      </c>
      <c r="B187" s="5" t="s">
        <v>91</v>
      </c>
      <c r="C187" s="5" t="s">
        <v>507</v>
      </c>
      <c r="D187" s="7">
        <v>5210269.9447999997</v>
      </c>
    </row>
    <row r="188" spans="1:4">
      <c r="A188" s="5">
        <v>183</v>
      </c>
      <c r="B188" s="5" t="s">
        <v>91</v>
      </c>
      <c r="C188" s="5" t="s">
        <v>509</v>
      </c>
      <c r="D188" s="7">
        <v>5909984.1644000001</v>
      </c>
    </row>
    <row r="189" spans="1:4">
      <c r="A189" s="5">
        <v>184</v>
      </c>
      <c r="B189" s="5" t="s">
        <v>91</v>
      </c>
      <c r="C189" s="5" t="s">
        <v>511</v>
      </c>
      <c r="D189" s="7">
        <v>5554371.2609999999</v>
      </c>
    </row>
    <row r="190" spans="1:4">
      <c r="A190" s="5">
        <v>185</v>
      </c>
      <c r="B190" s="5" t="s">
        <v>91</v>
      </c>
      <c r="C190" s="5" t="s">
        <v>513</v>
      </c>
      <c r="D190" s="7">
        <v>5576267.8513000002</v>
      </c>
    </row>
    <row r="191" spans="1:4">
      <c r="A191" s="5">
        <v>186</v>
      </c>
      <c r="B191" s="5" t="s">
        <v>91</v>
      </c>
      <c r="C191" s="5" t="s">
        <v>515</v>
      </c>
      <c r="D191" s="7">
        <v>6149444.2445</v>
      </c>
    </row>
    <row r="192" spans="1:4">
      <c r="A192" s="5">
        <v>187</v>
      </c>
      <c r="B192" s="5" t="s">
        <v>92</v>
      </c>
      <c r="C192" s="5" t="s">
        <v>520</v>
      </c>
      <c r="D192" s="7">
        <v>4306217.1242000004</v>
      </c>
    </row>
    <row r="193" spans="1:4">
      <c r="A193" s="5">
        <v>188</v>
      </c>
      <c r="B193" s="5" t="s">
        <v>92</v>
      </c>
      <c r="C193" s="5" t="s">
        <v>522</v>
      </c>
      <c r="D193" s="7">
        <v>4693605.8073000005</v>
      </c>
    </row>
    <row r="194" spans="1:4">
      <c r="A194" s="5">
        <v>189</v>
      </c>
      <c r="B194" s="5" t="s">
        <v>92</v>
      </c>
      <c r="C194" s="5" t="s">
        <v>524</v>
      </c>
      <c r="D194" s="7">
        <v>4012259.4969000001</v>
      </c>
    </row>
    <row r="195" spans="1:4">
      <c r="A195" s="5">
        <v>190</v>
      </c>
      <c r="B195" s="5" t="s">
        <v>92</v>
      </c>
      <c r="C195" s="5" t="s">
        <v>526</v>
      </c>
      <c r="D195" s="7">
        <v>5766342.3923000004</v>
      </c>
    </row>
    <row r="196" spans="1:4">
      <c r="A196" s="5">
        <v>191</v>
      </c>
      <c r="B196" s="5" t="s">
        <v>92</v>
      </c>
      <c r="C196" s="5" t="s">
        <v>528</v>
      </c>
      <c r="D196" s="7">
        <v>5246475.5544999996</v>
      </c>
    </row>
    <row r="197" spans="1:4">
      <c r="A197" s="5">
        <v>192</v>
      </c>
      <c r="B197" s="5" t="s">
        <v>92</v>
      </c>
      <c r="C197" s="5" t="s">
        <v>530</v>
      </c>
      <c r="D197" s="7">
        <v>5374178.5783000002</v>
      </c>
    </row>
    <row r="198" spans="1:4">
      <c r="A198" s="5">
        <v>193</v>
      </c>
      <c r="B198" s="5" t="s">
        <v>92</v>
      </c>
      <c r="C198" s="5" t="s">
        <v>532</v>
      </c>
      <c r="D198" s="7">
        <v>5697620.9556</v>
      </c>
    </row>
    <row r="199" spans="1:4">
      <c r="A199" s="5">
        <v>194</v>
      </c>
      <c r="B199" s="5" t="s">
        <v>92</v>
      </c>
      <c r="C199" s="5" t="s">
        <v>534</v>
      </c>
      <c r="D199" s="7">
        <v>5358695.8638000004</v>
      </c>
    </row>
    <row r="200" spans="1:4">
      <c r="A200" s="5">
        <v>195</v>
      </c>
      <c r="B200" s="5" t="s">
        <v>92</v>
      </c>
      <c r="C200" s="5" t="s">
        <v>536</v>
      </c>
      <c r="D200" s="7">
        <v>5042137.9060000004</v>
      </c>
    </row>
    <row r="201" spans="1:4">
      <c r="A201" s="5">
        <v>196</v>
      </c>
      <c r="B201" s="5" t="s">
        <v>92</v>
      </c>
      <c r="C201" s="5" t="s">
        <v>538</v>
      </c>
      <c r="D201" s="7">
        <v>5638235.5617000004</v>
      </c>
    </row>
    <row r="202" spans="1:4">
      <c r="A202" s="5">
        <v>197</v>
      </c>
      <c r="B202" s="5" t="s">
        <v>92</v>
      </c>
      <c r="C202" s="5" t="s">
        <v>540</v>
      </c>
      <c r="D202" s="7">
        <v>4737855.6381000001</v>
      </c>
    </row>
    <row r="203" spans="1:4">
      <c r="A203" s="5">
        <v>198</v>
      </c>
      <c r="B203" s="5" t="s">
        <v>92</v>
      </c>
      <c r="C203" s="5" t="s">
        <v>542</v>
      </c>
      <c r="D203" s="7">
        <v>4886381.5601000004</v>
      </c>
    </row>
    <row r="204" spans="1:4">
      <c r="A204" s="5">
        <v>199</v>
      </c>
      <c r="B204" s="5" t="s">
        <v>92</v>
      </c>
      <c r="C204" s="5" t="s">
        <v>544</v>
      </c>
      <c r="D204" s="7">
        <v>4475820.0560999997</v>
      </c>
    </row>
    <row r="205" spans="1:4">
      <c r="A205" s="5">
        <v>200</v>
      </c>
      <c r="B205" s="5" t="s">
        <v>92</v>
      </c>
      <c r="C205" s="5" t="s">
        <v>546</v>
      </c>
      <c r="D205" s="7">
        <v>4383461.7334000003</v>
      </c>
    </row>
    <row r="206" spans="1:4">
      <c r="A206" s="5">
        <v>201</v>
      </c>
      <c r="B206" s="5" t="s">
        <v>92</v>
      </c>
      <c r="C206" s="5" t="s">
        <v>548</v>
      </c>
      <c r="D206" s="7">
        <v>4756561.5734999999</v>
      </c>
    </row>
    <row r="207" spans="1:4">
      <c r="A207" s="5">
        <v>202</v>
      </c>
      <c r="B207" s="5" t="s">
        <v>92</v>
      </c>
      <c r="C207" s="5" t="s">
        <v>550</v>
      </c>
      <c r="D207" s="7">
        <v>3928171.1409999998</v>
      </c>
    </row>
    <row r="208" spans="1:4">
      <c r="A208" s="5">
        <v>203</v>
      </c>
      <c r="B208" s="5" t="s">
        <v>92</v>
      </c>
      <c r="C208" s="5" t="s">
        <v>552</v>
      </c>
      <c r="D208" s="7">
        <v>4947835.2298999997</v>
      </c>
    </row>
    <row r="209" spans="1:4">
      <c r="A209" s="5">
        <v>204</v>
      </c>
      <c r="B209" s="5" t="s">
        <v>92</v>
      </c>
      <c r="C209" s="5" t="s">
        <v>554</v>
      </c>
      <c r="D209" s="7">
        <v>5202136.3158999998</v>
      </c>
    </row>
    <row r="210" spans="1:4">
      <c r="A210" s="5">
        <v>205</v>
      </c>
      <c r="B210" s="5" t="s">
        <v>92</v>
      </c>
      <c r="C210" s="5" t="s">
        <v>556</v>
      </c>
      <c r="D210" s="7">
        <v>6793838.6131999996</v>
      </c>
    </row>
    <row r="211" spans="1:4">
      <c r="A211" s="5">
        <v>206</v>
      </c>
      <c r="B211" s="5" t="s">
        <v>92</v>
      </c>
      <c r="C211" s="5" t="s">
        <v>558</v>
      </c>
      <c r="D211" s="7">
        <v>5385580.8496000003</v>
      </c>
    </row>
    <row r="212" spans="1:4">
      <c r="A212" s="5">
        <v>207</v>
      </c>
      <c r="B212" s="5" t="s">
        <v>92</v>
      </c>
      <c r="C212" s="5" t="s">
        <v>560</v>
      </c>
      <c r="D212" s="7">
        <v>4271243.8764000004</v>
      </c>
    </row>
    <row r="213" spans="1:4">
      <c r="A213" s="5">
        <v>208</v>
      </c>
      <c r="B213" s="5" t="s">
        <v>92</v>
      </c>
      <c r="C213" s="5" t="s">
        <v>562</v>
      </c>
      <c r="D213" s="7">
        <v>5018654.6820999999</v>
      </c>
    </row>
    <row r="214" spans="1:4">
      <c r="A214" s="5">
        <v>209</v>
      </c>
      <c r="B214" s="5" t="s">
        <v>92</v>
      </c>
      <c r="C214" s="5" t="s">
        <v>564</v>
      </c>
      <c r="D214" s="7">
        <v>6236744.7143999999</v>
      </c>
    </row>
    <row r="215" spans="1:4">
      <c r="A215" s="5">
        <v>210</v>
      </c>
      <c r="B215" s="5" t="s">
        <v>92</v>
      </c>
      <c r="C215" s="5" t="s">
        <v>566</v>
      </c>
      <c r="D215" s="7">
        <v>5132475.4232999999</v>
      </c>
    </row>
    <row r="216" spans="1:4">
      <c r="A216" s="5">
        <v>211</v>
      </c>
      <c r="B216" s="5" t="s">
        <v>92</v>
      </c>
      <c r="C216" s="5" t="s">
        <v>568</v>
      </c>
      <c r="D216" s="7">
        <v>4928934.4505000003</v>
      </c>
    </row>
    <row r="217" spans="1:4">
      <c r="A217" s="5">
        <v>212</v>
      </c>
      <c r="B217" s="5" t="s">
        <v>93</v>
      </c>
      <c r="C217" s="5" t="s">
        <v>573</v>
      </c>
      <c r="D217" s="7">
        <v>5597135.1683999998</v>
      </c>
    </row>
    <row r="218" spans="1:4">
      <c r="A218" s="5">
        <v>213</v>
      </c>
      <c r="B218" s="5" t="s">
        <v>93</v>
      </c>
      <c r="C218" s="5" t="s">
        <v>575</v>
      </c>
      <c r="D218" s="7">
        <v>5255701.1283</v>
      </c>
    </row>
    <row r="219" spans="1:4">
      <c r="A219" s="5">
        <v>214</v>
      </c>
      <c r="B219" s="5" t="s">
        <v>93</v>
      </c>
      <c r="C219" s="5" t="s">
        <v>577</v>
      </c>
      <c r="D219" s="7">
        <v>5300945.4272999996</v>
      </c>
    </row>
    <row r="220" spans="1:4">
      <c r="A220" s="5">
        <v>215</v>
      </c>
      <c r="B220" s="5" t="s">
        <v>93</v>
      </c>
      <c r="C220" s="5" t="s">
        <v>93</v>
      </c>
      <c r="D220" s="7">
        <v>5111592.6195999999</v>
      </c>
    </row>
    <row r="221" spans="1:4">
      <c r="A221" s="5">
        <v>216</v>
      </c>
      <c r="B221" s="5" t="s">
        <v>93</v>
      </c>
      <c r="C221" s="5" t="s">
        <v>580</v>
      </c>
      <c r="D221" s="7">
        <v>5095005.2202000003</v>
      </c>
    </row>
    <row r="222" spans="1:4">
      <c r="A222" s="5">
        <v>217</v>
      </c>
      <c r="B222" s="5" t="s">
        <v>93</v>
      </c>
      <c r="C222" s="5" t="s">
        <v>582</v>
      </c>
      <c r="D222" s="7">
        <v>5295707.5426000003</v>
      </c>
    </row>
    <row r="223" spans="1:4">
      <c r="A223" s="5">
        <v>218</v>
      </c>
      <c r="B223" s="5" t="s">
        <v>93</v>
      </c>
      <c r="C223" s="5" t="s">
        <v>584</v>
      </c>
      <c r="D223" s="7">
        <v>6187630.8376000002</v>
      </c>
    </row>
    <row r="224" spans="1:4">
      <c r="A224" s="5">
        <v>219</v>
      </c>
      <c r="B224" s="5" t="s">
        <v>93</v>
      </c>
      <c r="C224" s="5" t="s">
        <v>586</v>
      </c>
      <c r="D224" s="7">
        <v>5480838.5411</v>
      </c>
    </row>
    <row r="225" spans="1:4">
      <c r="A225" s="5">
        <v>220</v>
      </c>
      <c r="B225" s="5" t="s">
        <v>93</v>
      </c>
      <c r="C225" s="5" t="s">
        <v>588</v>
      </c>
      <c r="D225" s="7">
        <v>4958845.7671999997</v>
      </c>
    </row>
    <row r="226" spans="1:4">
      <c r="A226" s="5">
        <v>221</v>
      </c>
      <c r="B226" s="5" t="s">
        <v>93</v>
      </c>
      <c r="C226" s="5" t="s">
        <v>590</v>
      </c>
      <c r="D226" s="7">
        <v>6887815.3191999998</v>
      </c>
    </row>
    <row r="227" spans="1:4">
      <c r="A227" s="5">
        <v>222</v>
      </c>
      <c r="B227" s="5" t="s">
        <v>93</v>
      </c>
      <c r="C227" s="5" t="s">
        <v>592</v>
      </c>
      <c r="D227" s="7">
        <v>5343464.2718000002</v>
      </c>
    </row>
    <row r="228" spans="1:4">
      <c r="A228" s="5">
        <v>223</v>
      </c>
      <c r="B228" s="5" t="s">
        <v>93</v>
      </c>
      <c r="C228" s="5" t="s">
        <v>594</v>
      </c>
      <c r="D228" s="7">
        <v>5896102.3644000003</v>
      </c>
    </row>
    <row r="229" spans="1:4">
      <c r="A229" s="5">
        <v>224</v>
      </c>
      <c r="B229" s="5" t="s">
        <v>93</v>
      </c>
      <c r="C229" s="5" t="s">
        <v>595</v>
      </c>
      <c r="D229" s="7">
        <v>6457695.0581999999</v>
      </c>
    </row>
    <row r="230" spans="1:4">
      <c r="A230" s="5">
        <v>225</v>
      </c>
      <c r="B230" s="5" t="s">
        <v>94</v>
      </c>
      <c r="C230" s="5" t="s">
        <v>600</v>
      </c>
      <c r="D230" s="7">
        <v>6704459.8985000001</v>
      </c>
    </row>
    <row r="231" spans="1:4">
      <c r="A231" s="5">
        <v>226</v>
      </c>
      <c r="B231" s="5" t="s">
        <v>94</v>
      </c>
      <c r="C231" s="5" t="s">
        <v>602</v>
      </c>
      <c r="D231" s="7">
        <v>6367778.0236</v>
      </c>
    </row>
    <row r="232" spans="1:4">
      <c r="A232" s="5">
        <v>227</v>
      </c>
      <c r="B232" s="5" t="s">
        <v>94</v>
      </c>
      <c r="C232" s="5" t="s">
        <v>603</v>
      </c>
      <c r="D232" s="7">
        <v>4213675.3501000004</v>
      </c>
    </row>
    <row r="233" spans="1:4">
      <c r="A233" s="5">
        <v>228</v>
      </c>
      <c r="B233" s="5" t="s">
        <v>94</v>
      </c>
      <c r="C233" s="5" t="s">
        <v>605</v>
      </c>
      <c r="D233" s="7">
        <v>4338102.9221999999</v>
      </c>
    </row>
    <row r="234" spans="1:4">
      <c r="A234" s="5">
        <v>229</v>
      </c>
      <c r="B234" s="5" t="s">
        <v>94</v>
      </c>
      <c r="C234" s="5" t="s">
        <v>607</v>
      </c>
      <c r="D234" s="7">
        <v>5194205.4253000002</v>
      </c>
    </row>
    <row r="235" spans="1:4">
      <c r="A235" s="5">
        <v>230</v>
      </c>
      <c r="B235" s="5" t="s">
        <v>94</v>
      </c>
      <c r="C235" s="5" t="s">
        <v>609</v>
      </c>
      <c r="D235" s="7">
        <v>4414886.8300999999</v>
      </c>
    </row>
    <row r="236" spans="1:4">
      <c r="A236" s="5">
        <v>231</v>
      </c>
      <c r="B236" s="5" t="s">
        <v>94</v>
      </c>
      <c r="C236" s="5" t="s">
        <v>611</v>
      </c>
      <c r="D236" s="7">
        <v>4418947.5675999997</v>
      </c>
    </row>
    <row r="237" spans="1:4">
      <c r="A237" s="5">
        <v>232</v>
      </c>
      <c r="B237" s="5" t="s">
        <v>94</v>
      </c>
      <c r="C237" s="5" t="s">
        <v>613</v>
      </c>
      <c r="D237" s="7">
        <v>5126347.5769999996</v>
      </c>
    </row>
    <row r="238" spans="1:4">
      <c r="A238" s="5">
        <v>233</v>
      </c>
      <c r="B238" s="5" t="s">
        <v>94</v>
      </c>
      <c r="C238" s="5" t="s">
        <v>615</v>
      </c>
      <c r="D238" s="7">
        <v>5642174.7229000004</v>
      </c>
    </row>
    <row r="239" spans="1:4">
      <c r="A239" s="5">
        <v>234</v>
      </c>
      <c r="B239" s="5" t="s">
        <v>94</v>
      </c>
      <c r="C239" s="5" t="s">
        <v>617</v>
      </c>
      <c r="D239" s="7">
        <v>4105510.0685999999</v>
      </c>
    </row>
    <row r="240" spans="1:4">
      <c r="A240" s="5">
        <v>235</v>
      </c>
      <c r="B240" s="5" t="s">
        <v>94</v>
      </c>
      <c r="C240" s="5" t="s">
        <v>619</v>
      </c>
      <c r="D240" s="7">
        <v>7044597.4177999999</v>
      </c>
    </row>
    <row r="241" spans="1:4">
      <c r="A241" s="5">
        <v>236</v>
      </c>
      <c r="B241" s="5" t="s">
        <v>94</v>
      </c>
      <c r="C241" s="5" t="s">
        <v>621</v>
      </c>
      <c r="D241" s="7">
        <v>7250011.4913999997</v>
      </c>
    </row>
    <row r="242" spans="1:4">
      <c r="A242" s="5">
        <v>237</v>
      </c>
      <c r="B242" s="5" t="s">
        <v>94</v>
      </c>
      <c r="C242" s="5" t="s">
        <v>623</v>
      </c>
      <c r="D242" s="7">
        <v>5682611.7111</v>
      </c>
    </row>
    <row r="243" spans="1:4">
      <c r="A243" s="5">
        <v>238</v>
      </c>
      <c r="B243" s="5" t="s">
        <v>94</v>
      </c>
      <c r="C243" s="5" t="s">
        <v>625</v>
      </c>
      <c r="D243" s="7">
        <v>5419365.9254000001</v>
      </c>
    </row>
    <row r="244" spans="1:4">
      <c r="A244" s="5">
        <v>239</v>
      </c>
      <c r="B244" s="5" t="s">
        <v>94</v>
      </c>
      <c r="C244" s="5" t="s">
        <v>627</v>
      </c>
      <c r="D244" s="7">
        <v>5914792.0011999998</v>
      </c>
    </row>
    <row r="245" spans="1:4">
      <c r="A245" s="5">
        <v>240</v>
      </c>
      <c r="B245" s="5" t="s">
        <v>94</v>
      </c>
      <c r="C245" s="5" t="s">
        <v>629</v>
      </c>
      <c r="D245" s="7">
        <v>5188501.2869999995</v>
      </c>
    </row>
    <row r="246" spans="1:4">
      <c r="A246" s="5">
        <v>241</v>
      </c>
      <c r="B246" s="5" t="s">
        <v>94</v>
      </c>
      <c r="C246" s="5" t="s">
        <v>631</v>
      </c>
      <c r="D246" s="7">
        <v>4255275.5871000001</v>
      </c>
    </row>
    <row r="247" spans="1:4">
      <c r="A247" s="5">
        <v>242</v>
      </c>
      <c r="B247" s="5" t="s">
        <v>94</v>
      </c>
      <c r="C247" s="5" t="s">
        <v>633</v>
      </c>
      <c r="D247" s="7">
        <v>5295261.1694999998</v>
      </c>
    </row>
    <row r="248" spans="1:4">
      <c r="A248" s="5">
        <v>243</v>
      </c>
      <c r="B248" s="5" t="s">
        <v>95</v>
      </c>
      <c r="C248" s="5" t="s">
        <v>637</v>
      </c>
      <c r="D248" s="7">
        <v>6222044.5476000002</v>
      </c>
    </row>
    <row r="249" spans="1:4">
      <c r="A249" s="5">
        <v>244</v>
      </c>
      <c r="B249" s="5" t="s">
        <v>95</v>
      </c>
      <c r="C249" s="5" t="s">
        <v>639</v>
      </c>
      <c r="D249" s="7">
        <v>4734555.4552999996</v>
      </c>
    </row>
    <row r="250" spans="1:4">
      <c r="A250" s="5">
        <v>245</v>
      </c>
      <c r="B250" s="5" t="s">
        <v>95</v>
      </c>
      <c r="C250" s="5" t="s">
        <v>641</v>
      </c>
      <c r="D250" s="7">
        <v>4514332.0560999997</v>
      </c>
    </row>
    <row r="251" spans="1:4">
      <c r="A251" s="5">
        <v>246</v>
      </c>
      <c r="B251" s="5" t="s">
        <v>95</v>
      </c>
      <c r="C251" s="5" t="s">
        <v>643</v>
      </c>
      <c r="D251" s="7">
        <v>4661292.9249999998</v>
      </c>
    </row>
    <row r="252" spans="1:4">
      <c r="A252" s="5">
        <v>247</v>
      </c>
      <c r="B252" s="5" t="s">
        <v>95</v>
      </c>
      <c r="C252" s="5" t="s">
        <v>645</v>
      </c>
      <c r="D252" s="7">
        <v>4937217.5580000002</v>
      </c>
    </row>
    <row r="253" spans="1:4">
      <c r="A253" s="5">
        <v>248</v>
      </c>
      <c r="B253" s="5" t="s">
        <v>95</v>
      </c>
      <c r="C253" s="5" t="s">
        <v>647</v>
      </c>
      <c r="D253" s="7">
        <v>5033040.3821999999</v>
      </c>
    </row>
    <row r="254" spans="1:4">
      <c r="A254" s="5">
        <v>249</v>
      </c>
      <c r="B254" s="5" t="s">
        <v>95</v>
      </c>
      <c r="C254" s="5" t="s">
        <v>649</v>
      </c>
      <c r="D254" s="7">
        <v>4147256.5279000001</v>
      </c>
    </row>
    <row r="255" spans="1:4">
      <c r="A255" s="5">
        <v>250</v>
      </c>
      <c r="B255" s="5" t="s">
        <v>95</v>
      </c>
      <c r="C255" s="5" t="s">
        <v>651</v>
      </c>
      <c r="D255" s="7">
        <v>5109088.2774999999</v>
      </c>
    </row>
    <row r="256" spans="1:4">
      <c r="A256" s="5">
        <v>251</v>
      </c>
      <c r="B256" s="5" t="s">
        <v>95</v>
      </c>
      <c r="C256" s="5" t="s">
        <v>653</v>
      </c>
      <c r="D256" s="7">
        <v>5466521.3808000004</v>
      </c>
    </row>
    <row r="257" spans="1:4">
      <c r="A257" s="5">
        <v>252</v>
      </c>
      <c r="B257" s="5" t="s">
        <v>95</v>
      </c>
      <c r="C257" s="5" t="s">
        <v>655</v>
      </c>
      <c r="D257" s="7">
        <v>4773473.6216000002</v>
      </c>
    </row>
    <row r="258" spans="1:4">
      <c r="A258" s="5">
        <v>253</v>
      </c>
      <c r="B258" s="5" t="s">
        <v>95</v>
      </c>
      <c r="C258" s="5" t="s">
        <v>657</v>
      </c>
      <c r="D258" s="7">
        <v>5115564.0466999998</v>
      </c>
    </row>
    <row r="259" spans="1:4">
      <c r="A259" s="5">
        <v>254</v>
      </c>
      <c r="B259" s="5" t="s">
        <v>95</v>
      </c>
      <c r="C259" s="5" t="s">
        <v>659</v>
      </c>
      <c r="D259" s="7">
        <v>3589899.6919999998</v>
      </c>
    </row>
    <row r="260" spans="1:4">
      <c r="A260" s="5">
        <v>255</v>
      </c>
      <c r="B260" s="5" t="s">
        <v>95</v>
      </c>
      <c r="C260" s="5" t="s">
        <v>661</v>
      </c>
      <c r="D260" s="7">
        <v>4549955.6152999997</v>
      </c>
    </row>
    <row r="261" spans="1:4">
      <c r="A261" s="5">
        <v>256</v>
      </c>
      <c r="B261" s="5" t="s">
        <v>95</v>
      </c>
      <c r="C261" s="5" t="s">
        <v>663</v>
      </c>
      <c r="D261" s="7">
        <v>4440015.6744999997</v>
      </c>
    </row>
    <row r="262" spans="1:4">
      <c r="A262" s="5">
        <v>257</v>
      </c>
      <c r="B262" s="5" t="s">
        <v>95</v>
      </c>
      <c r="C262" s="5" t="s">
        <v>665</v>
      </c>
      <c r="D262" s="7">
        <v>4761976.7022000002</v>
      </c>
    </row>
    <row r="263" spans="1:4">
      <c r="A263" s="5">
        <v>258</v>
      </c>
      <c r="B263" s="5" t="s">
        <v>95</v>
      </c>
      <c r="C263" s="5" t="s">
        <v>667</v>
      </c>
      <c r="D263" s="7">
        <v>4629012.7726999996</v>
      </c>
    </row>
    <row r="264" spans="1:4">
      <c r="A264" s="5">
        <v>259</v>
      </c>
      <c r="B264" s="5" t="s">
        <v>96</v>
      </c>
      <c r="C264" s="5" t="s">
        <v>671</v>
      </c>
      <c r="D264" s="7">
        <v>5798635.6497999998</v>
      </c>
    </row>
    <row r="265" spans="1:4">
      <c r="A265" s="5">
        <v>260</v>
      </c>
      <c r="B265" s="5" t="s">
        <v>96</v>
      </c>
      <c r="C265" s="5" t="s">
        <v>673</v>
      </c>
      <c r="D265" s="7">
        <v>4885767.2660999997</v>
      </c>
    </row>
    <row r="266" spans="1:4">
      <c r="A266" s="5">
        <v>261</v>
      </c>
      <c r="B266" s="5" t="s">
        <v>96</v>
      </c>
      <c r="C266" s="5" t="s">
        <v>675</v>
      </c>
      <c r="D266" s="7">
        <v>6613403.8333000001</v>
      </c>
    </row>
    <row r="267" spans="1:4">
      <c r="A267" s="5">
        <v>262</v>
      </c>
      <c r="B267" s="5" t="s">
        <v>96</v>
      </c>
      <c r="C267" s="5" t="s">
        <v>677</v>
      </c>
      <c r="D267" s="7">
        <v>6216842.5415000003</v>
      </c>
    </row>
    <row r="268" spans="1:4">
      <c r="A268" s="5">
        <v>263</v>
      </c>
      <c r="B268" s="5" t="s">
        <v>96</v>
      </c>
      <c r="C268" s="5" t="s">
        <v>679</v>
      </c>
      <c r="D268" s="7">
        <v>6010970.7893000003</v>
      </c>
    </row>
    <row r="269" spans="1:4">
      <c r="A269" s="5">
        <v>264</v>
      </c>
      <c r="B269" s="5" t="s">
        <v>96</v>
      </c>
      <c r="C269" s="5" t="s">
        <v>681</v>
      </c>
      <c r="D269" s="7">
        <v>5779357.7484999998</v>
      </c>
    </row>
    <row r="270" spans="1:4">
      <c r="A270" s="5">
        <v>265</v>
      </c>
      <c r="B270" s="5" t="s">
        <v>96</v>
      </c>
      <c r="C270" s="5" t="s">
        <v>683</v>
      </c>
      <c r="D270" s="7">
        <v>5835336.1182000004</v>
      </c>
    </row>
    <row r="271" spans="1:4">
      <c r="A271" s="5">
        <v>266</v>
      </c>
      <c r="B271" s="5" t="s">
        <v>96</v>
      </c>
      <c r="C271" s="5" t="s">
        <v>685</v>
      </c>
      <c r="D271" s="7">
        <v>6315685.1029000003</v>
      </c>
    </row>
    <row r="272" spans="1:4">
      <c r="A272" s="5">
        <v>267</v>
      </c>
      <c r="B272" s="5" t="s">
        <v>96</v>
      </c>
      <c r="C272" s="5" t="s">
        <v>687</v>
      </c>
      <c r="D272" s="7">
        <v>5746808.2651000004</v>
      </c>
    </row>
    <row r="273" spans="1:4">
      <c r="A273" s="5">
        <v>268</v>
      </c>
      <c r="B273" s="5" t="s">
        <v>96</v>
      </c>
      <c r="C273" s="5" t="s">
        <v>689</v>
      </c>
      <c r="D273" s="7">
        <v>5374228.3707999997</v>
      </c>
    </row>
    <row r="274" spans="1:4">
      <c r="A274" s="5">
        <v>269</v>
      </c>
      <c r="B274" s="5" t="s">
        <v>96</v>
      </c>
      <c r="C274" s="5" t="s">
        <v>691</v>
      </c>
      <c r="D274" s="7">
        <v>5626455.8498</v>
      </c>
    </row>
    <row r="275" spans="1:4">
      <c r="A275" s="5">
        <v>270</v>
      </c>
      <c r="B275" s="5" t="s">
        <v>96</v>
      </c>
      <c r="C275" s="5" t="s">
        <v>693</v>
      </c>
      <c r="D275" s="7">
        <v>5462894.1978000002</v>
      </c>
    </row>
    <row r="276" spans="1:4">
      <c r="A276" s="5">
        <v>271</v>
      </c>
      <c r="B276" s="5" t="s">
        <v>96</v>
      </c>
      <c r="C276" s="5" t="s">
        <v>695</v>
      </c>
      <c r="D276" s="7">
        <v>7075162.6299999999</v>
      </c>
    </row>
    <row r="277" spans="1:4">
      <c r="A277" s="5">
        <v>272</v>
      </c>
      <c r="B277" s="5" t="s">
        <v>96</v>
      </c>
      <c r="C277" s="5" t="s">
        <v>696</v>
      </c>
      <c r="D277" s="7">
        <v>4854556.7562999995</v>
      </c>
    </row>
    <row r="278" spans="1:4">
      <c r="A278" s="5">
        <v>273</v>
      </c>
      <c r="B278" s="5" t="s">
        <v>96</v>
      </c>
      <c r="C278" s="5" t="s">
        <v>698</v>
      </c>
      <c r="D278" s="7">
        <v>5373209.2594999997</v>
      </c>
    </row>
    <row r="279" spans="1:4">
      <c r="A279" s="5">
        <v>274</v>
      </c>
      <c r="B279" s="5" t="s">
        <v>96</v>
      </c>
      <c r="C279" s="5" t="s">
        <v>700</v>
      </c>
      <c r="D279" s="7">
        <v>6101207.4693999998</v>
      </c>
    </row>
    <row r="280" spans="1:4">
      <c r="A280" s="5">
        <v>275</v>
      </c>
      <c r="B280" s="5" t="s">
        <v>96</v>
      </c>
      <c r="C280" s="5" t="s">
        <v>702</v>
      </c>
      <c r="D280" s="7">
        <v>5052643.0108000003</v>
      </c>
    </row>
    <row r="281" spans="1:4">
      <c r="A281" s="5">
        <v>276</v>
      </c>
      <c r="B281" s="5" t="s">
        <v>97</v>
      </c>
      <c r="C281" s="5" t="s">
        <v>707</v>
      </c>
      <c r="D281" s="7">
        <v>8061580.9011000004</v>
      </c>
    </row>
    <row r="282" spans="1:4">
      <c r="A282" s="5">
        <v>277</v>
      </c>
      <c r="B282" s="5" t="s">
        <v>97</v>
      </c>
      <c r="C282" s="5" t="s">
        <v>709</v>
      </c>
      <c r="D282" s="7">
        <v>5854582.0086000003</v>
      </c>
    </row>
    <row r="283" spans="1:4">
      <c r="A283" s="5">
        <v>278</v>
      </c>
      <c r="B283" s="5" t="s">
        <v>97</v>
      </c>
      <c r="C283" s="5" t="s">
        <v>711</v>
      </c>
      <c r="D283" s="7">
        <v>5892508.1617999999</v>
      </c>
    </row>
    <row r="284" spans="1:4">
      <c r="A284" s="5">
        <v>279</v>
      </c>
      <c r="B284" s="5" t="s">
        <v>97</v>
      </c>
      <c r="C284" s="5" t="s">
        <v>713</v>
      </c>
      <c r="D284" s="7">
        <v>6420682.7680000002</v>
      </c>
    </row>
    <row r="285" spans="1:4">
      <c r="A285" s="5">
        <v>280</v>
      </c>
      <c r="B285" s="5" t="s">
        <v>97</v>
      </c>
      <c r="C285" s="5" t="s">
        <v>715</v>
      </c>
      <c r="D285" s="7">
        <v>6244992.7130000005</v>
      </c>
    </row>
    <row r="286" spans="1:4">
      <c r="A286" s="5">
        <v>281</v>
      </c>
      <c r="B286" s="5" t="s">
        <v>97</v>
      </c>
      <c r="C286" s="5" t="s">
        <v>97</v>
      </c>
      <c r="D286" s="7">
        <v>6800003.7691000002</v>
      </c>
    </row>
    <row r="287" spans="1:4">
      <c r="A287" s="5">
        <v>282</v>
      </c>
      <c r="B287" s="5" t="s">
        <v>97</v>
      </c>
      <c r="C287" s="5" t="s">
        <v>718</v>
      </c>
      <c r="D287" s="7">
        <v>5331831.3245999999</v>
      </c>
    </row>
    <row r="288" spans="1:4">
      <c r="A288" s="5">
        <v>283</v>
      </c>
      <c r="B288" s="5" t="s">
        <v>97</v>
      </c>
      <c r="C288" s="5" t="s">
        <v>720</v>
      </c>
      <c r="D288" s="7">
        <v>5719371.2268000003</v>
      </c>
    </row>
    <row r="289" spans="1:4">
      <c r="A289" s="5">
        <v>284</v>
      </c>
      <c r="B289" s="5" t="s">
        <v>97</v>
      </c>
      <c r="C289" s="5" t="s">
        <v>722</v>
      </c>
      <c r="D289" s="7">
        <v>5214250.8255000003</v>
      </c>
    </row>
    <row r="290" spans="1:4">
      <c r="A290" s="5">
        <v>285</v>
      </c>
      <c r="B290" s="5" t="s">
        <v>97</v>
      </c>
      <c r="C290" s="5" t="s">
        <v>724</v>
      </c>
      <c r="D290" s="7">
        <v>4945056.8165999996</v>
      </c>
    </row>
    <row r="291" spans="1:4">
      <c r="A291" s="5">
        <v>286</v>
      </c>
      <c r="B291" s="5" t="s">
        <v>97</v>
      </c>
      <c r="C291" s="5" t="s">
        <v>726</v>
      </c>
      <c r="D291" s="7">
        <v>6749200.5783000002</v>
      </c>
    </row>
    <row r="292" spans="1:4">
      <c r="A292" s="5">
        <v>287</v>
      </c>
      <c r="B292" s="5" t="s">
        <v>98</v>
      </c>
      <c r="C292" s="5" t="s">
        <v>731</v>
      </c>
      <c r="D292" s="7">
        <v>5275824.2774</v>
      </c>
    </row>
    <row r="293" spans="1:4">
      <c r="A293" s="5">
        <v>288</v>
      </c>
      <c r="B293" s="5" t="s">
        <v>98</v>
      </c>
      <c r="C293" s="5" t="s">
        <v>733</v>
      </c>
      <c r="D293" s="7">
        <v>4964816.5802999996</v>
      </c>
    </row>
    <row r="294" spans="1:4">
      <c r="A294" s="5">
        <v>289</v>
      </c>
      <c r="B294" s="5" t="s">
        <v>98</v>
      </c>
      <c r="C294" s="5" t="s">
        <v>735</v>
      </c>
      <c r="D294" s="7">
        <v>4561125.2478999998</v>
      </c>
    </row>
    <row r="295" spans="1:4">
      <c r="A295" s="5">
        <v>290</v>
      </c>
      <c r="B295" s="5" t="s">
        <v>98</v>
      </c>
      <c r="C295" s="5" t="s">
        <v>737</v>
      </c>
      <c r="D295" s="7">
        <v>4851108.5524000004</v>
      </c>
    </row>
    <row r="296" spans="1:4">
      <c r="A296" s="5">
        <v>291</v>
      </c>
      <c r="B296" s="5" t="s">
        <v>98</v>
      </c>
      <c r="C296" s="5" t="s">
        <v>739</v>
      </c>
      <c r="D296" s="7">
        <v>5201874.3076999998</v>
      </c>
    </row>
    <row r="297" spans="1:4">
      <c r="A297" s="5">
        <v>292</v>
      </c>
      <c r="B297" s="5" t="s">
        <v>98</v>
      </c>
      <c r="C297" s="5" t="s">
        <v>741</v>
      </c>
      <c r="D297" s="7">
        <v>5219292.6445000004</v>
      </c>
    </row>
    <row r="298" spans="1:4">
      <c r="A298" s="5">
        <v>293</v>
      </c>
      <c r="B298" s="5" t="s">
        <v>98</v>
      </c>
      <c r="C298" s="5" t="s">
        <v>743</v>
      </c>
      <c r="D298" s="7">
        <v>4671542.1933000004</v>
      </c>
    </row>
    <row r="299" spans="1:4">
      <c r="A299" s="5">
        <v>294</v>
      </c>
      <c r="B299" s="5" t="s">
        <v>98</v>
      </c>
      <c r="C299" s="5" t="s">
        <v>745</v>
      </c>
      <c r="D299" s="7">
        <v>4948130.7035999997</v>
      </c>
    </row>
    <row r="300" spans="1:4">
      <c r="A300" s="5">
        <v>295</v>
      </c>
      <c r="B300" s="5" t="s">
        <v>98</v>
      </c>
      <c r="C300" s="5" t="s">
        <v>747</v>
      </c>
      <c r="D300" s="7">
        <v>5567047.233</v>
      </c>
    </row>
    <row r="301" spans="1:4">
      <c r="A301" s="5">
        <v>296</v>
      </c>
      <c r="B301" s="5" t="s">
        <v>98</v>
      </c>
      <c r="C301" s="5" t="s">
        <v>749</v>
      </c>
      <c r="D301" s="7">
        <v>4920490.6118999999</v>
      </c>
    </row>
    <row r="302" spans="1:4">
      <c r="A302" s="5">
        <v>297</v>
      </c>
      <c r="B302" s="5" t="s">
        <v>98</v>
      </c>
      <c r="C302" s="5" t="s">
        <v>751</v>
      </c>
      <c r="D302" s="7">
        <v>6069218.6593000004</v>
      </c>
    </row>
    <row r="303" spans="1:4">
      <c r="A303" s="5">
        <v>298</v>
      </c>
      <c r="B303" s="5" t="s">
        <v>98</v>
      </c>
      <c r="C303" s="5" t="s">
        <v>753</v>
      </c>
      <c r="D303" s="7">
        <v>5154559.3852000004</v>
      </c>
    </row>
    <row r="304" spans="1:4">
      <c r="A304" s="5">
        <v>299</v>
      </c>
      <c r="B304" s="5" t="s">
        <v>98</v>
      </c>
      <c r="C304" s="5" t="s">
        <v>755</v>
      </c>
      <c r="D304" s="7">
        <v>4656495.4896</v>
      </c>
    </row>
    <row r="305" spans="1:4">
      <c r="A305" s="5">
        <v>300</v>
      </c>
      <c r="B305" s="5" t="s">
        <v>98</v>
      </c>
      <c r="C305" s="5" t="s">
        <v>757</v>
      </c>
      <c r="D305" s="7">
        <v>4531528.5723000001</v>
      </c>
    </row>
    <row r="306" spans="1:4">
      <c r="A306" s="5">
        <v>301</v>
      </c>
      <c r="B306" s="5" t="s">
        <v>98</v>
      </c>
      <c r="C306" s="5" t="s">
        <v>759</v>
      </c>
      <c r="D306" s="7">
        <v>4036873.6381000001</v>
      </c>
    </row>
    <row r="307" spans="1:4">
      <c r="A307" s="5">
        <v>302</v>
      </c>
      <c r="B307" s="5" t="s">
        <v>98</v>
      </c>
      <c r="C307" s="5" t="s">
        <v>761</v>
      </c>
      <c r="D307" s="7">
        <v>4375918.3003000002</v>
      </c>
    </row>
    <row r="308" spans="1:4">
      <c r="A308" s="5">
        <v>303</v>
      </c>
      <c r="B308" s="5" t="s">
        <v>98</v>
      </c>
      <c r="C308" s="5" t="s">
        <v>763</v>
      </c>
      <c r="D308" s="7">
        <v>5137171.1190999998</v>
      </c>
    </row>
    <row r="309" spans="1:4">
      <c r="A309" s="5">
        <v>304</v>
      </c>
      <c r="B309" s="5" t="s">
        <v>98</v>
      </c>
      <c r="C309" s="5" t="s">
        <v>765</v>
      </c>
      <c r="D309" s="7">
        <v>5560383.2422000002</v>
      </c>
    </row>
    <row r="310" spans="1:4">
      <c r="A310" s="5">
        <v>305</v>
      </c>
      <c r="B310" s="5" t="s">
        <v>98</v>
      </c>
      <c r="C310" s="5" t="s">
        <v>767</v>
      </c>
      <c r="D310" s="7">
        <v>4871709.3579000002</v>
      </c>
    </row>
    <row r="311" spans="1:4">
      <c r="A311" s="5">
        <v>306</v>
      </c>
      <c r="B311" s="5" t="s">
        <v>98</v>
      </c>
      <c r="C311" s="5" t="s">
        <v>769</v>
      </c>
      <c r="D311" s="7">
        <v>4328003.4797</v>
      </c>
    </row>
    <row r="312" spans="1:4">
      <c r="A312" s="5">
        <v>307</v>
      </c>
      <c r="B312" s="5" t="s">
        <v>98</v>
      </c>
      <c r="C312" s="5" t="s">
        <v>771</v>
      </c>
      <c r="D312" s="7">
        <v>4760209.1085000001</v>
      </c>
    </row>
    <row r="313" spans="1:4">
      <c r="A313" s="5">
        <v>308</v>
      </c>
      <c r="B313" s="5" t="s">
        <v>98</v>
      </c>
      <c r="C313" s="5" t="s">
        <v>773</v>
      </c>
      <c r="D313" s="7">
        <v>4630651.0292999996</v>
      </c>
    </row>
    <row r="314" spans="1:4">
      <c r="A314" s="5">
        <v>309</v>
      </c>
      <c r="B314" s="5" t="s">
        <v>98</v>
      </c>
      <c r="C314" s="5" t="s">
        <v>775</v>
      </c>
      <c r="D314" s="7">
        <v>4479034.5180000002</v>
      </c>
    </row>
    <row r="315" spans="1:4">
      <c r="A315" s="5">
        <v>310</v>
      </c>
      <c r="B315" s="5" t="s">
        <v>98</v>
      </c>
      <c r="C315" s="5" t="s">
        <v>777</v>
      </c>
      <c r="D315" s="7">
        <v>4633502.2359999996</v>
      </c>
    </row>
    <row r="316" spans="1:4">
      <c r="A316" s="5">
        <v>311</v>
      </c>
      <c r="B316" s="5" t="s">
        <v>98</v>
      </c>
      <c r="C316" s="5" t="s">
        <v>779</v>
      </c>
      <c r="D316" s="7">
        <v>4675935.2807</v>
      </c>
    </row>
    <row r="317" spans="1:4">
      <c r="A317" s="5">
        <v>312</v>
      </c>
      <c r="B317" s="5" t="s">
        <v>98</v>
      </c>
      <c r="C317" s="5" t="s">
        <v>781</v>
      </c>
      <c r="D317" s="7">
        <v>4974400.3070999999</v>
      </c>
    </row>
    <row r="318" spans="1:4">
      <c r="A318" s="5">
        <v>313</v>
      </c>
      <c r="B318" s="5" t="s">
        <v>98</v>
      </c>
      <c r="C318" s="5" t="s">
        <v>783</v>
      </c>
      <c r="D318" s="7">
        <v>4450022.1518000001</v>
      </c>
    </row>
    <row r="319" spans="1:4">
      <c r="A319" s="5">
        <v>314</v>
      </c>
      <c r="B319" s="5" t="s">
        <v>99</v>
      </c>
      <c r="C319" s="5" t="s">
        <v>788</v>
      </c>
      <c r="D319" s="7">
        <v>4647061.0196000002</v>
      </c>
    </row>
    <row r="320" spans="1:4">
      <c r="A320" s="5">
        <v>315</v>
      </c>
      <c r="B320" s="5" t="s">
        <v>99</v>
      </c>
      <c r="C320" s="5" t="s">
        <v>790</v>
      </c>
      <c r="D320" s="7">
        <v>5496131.2726999996</v>
      </c>
    </row>
    <row r="321" spans="1:4">
      <c r="A321" s="5">
        <v>316</v>
      </c>
      <c r="B321" s="5" t="s">
        <v>99</v>
      </c>
      <c r="C321" s="5" t="s">
        <v>792</v>
      </c>
      <c r="D321" s="7">
        <v>6820848.8003000002</v>
      </c>
    </row>
    <row r="322" spans="1:4">
      <c r="A322" s="5">
        <v>317</v>
      </c>
      <c r="B322" s="5" t="s">
        <v>99</v>
      </c>
      <c r="C322" s="5" t="s">
        <v>794</v>
      </c>
      <c r="D322" s="7">
        <v>5159174.7715999996</v>
      </c>
    </row>
    <row r="323" spans="1:4">
      <c r="A323" s="5">
        <v>318</v>
      </c>
      <c r="B323" s="5" t="s">
        <v>99</v>
      </c>
      <c r="C323" s="5" t="s">
        <v>796</v>
      </c>
      <c r="D323" s="7">
        <v>4427022.0078999996</v>
      </c>
    </row>
    <row r="324" spans="1:4">
      <c r="A324" s="5">
        <v>319</v>
      </c>
      <c r="B324" s="5" t="s">
        <v>99</v>
      </c>
      <c r="C324" s="5" t="s">
        <v>798</v>
      </c>
      <c r="D324" s="7">
        <v>4342791.0274</v>
      </c>
    </row>
    <row r="325" spans="1:4">
      <c r="A325" s="5">
        <v>320</v>
      </c>
      <c r="B325" s="5" t="s">
        <v>99</v>
      </c>
      <c r="C325" s="5" t="s">
        <v>800</v>
      </c>
      <c r="D325" s="7">
        <v>6096086.3419000003</v>
      </c>
    </row>
    <row r="326" spans="1:4">
      <c r="A326" s="5">
        <v>321</v>
      </c>
      <c r="B326" s="5" t="s">
        <v>99</v>
      </c>
      <c r="C326" s="5" t="s">
        <v>802</v>
      </c>
      <c r="D326" s="7">
        <v>5116256.3099999996</v>
      </c>
    </row>
    <row r="327" spans="1:4">
      <c r="A327" s="5">
        <v>322</v>
      </c>
      <c r="B327" s="5" t="s">
        <v>99</v>
      </c>
      <c r="C327" s="5" t="s">
        <v>804</v>
      </c>
      <c r="D327" s="7">
        <v>4481500.9903999995</v>
      </c>
    </row>
    <row r="328" spans="1:4">
      <c r="A328" s="5">
        <v>323</v>
      </c>
      <c r="B328" s="5" t="s">
        <v>99</v>
      </c>
      <c r="C328" s="5" t="s">
        <v>806</v>
      </c>
      <c r="D328" s="7">
        <v>4734461.8587999996</v>
      </c>
    </row>
    <row r="329" spans="1:4">
      <c r="A329" s="5">
        <v>324</v>
      </c>
      <c r="B329" s="5" t="s">
        <v>99</v>
      </c>
      <c r="C329" s="5" t="s">
        <v>808</v>
      </c>
      <c r="D329" s="7">
        <v>6585911.1503999997</v>
      </c>
    </row>
    <row r="330" spans="1:4">
      <c r="A330" s="5">
        <v>325</v>
      </c>
      <c r="B330" s="5" t="s">
        <v>99</v>
      </c>
      <c r="C330" s="5" t="s">
        <v>810</v>
      </c>
      <c r="D330" s="7">
        <v>4869382.6234999998</v>
      </c>
    </row>
    <row r="331" spans="1:4">
      <c r="A331" s="5">
        <v>326</v>
      </c>
      <c r="B331" s="5" t="s">
        <v>99</v>
      </c>
      <c r="C331" s="5" t="s">
        <v>812</v>
      </c>
      <c r="D331" s="7">
        <v>4110552.6560999998</v>
      </c>
    </row>
    <row r="332" spans="1:4">
      <c r="A332" s="5">
        <v>327</v>
      </c>
      <c r="B332" s="5" t="s">
        <v>99</v>
      </c>
      <c r="C332" s="5" t="s">
        <v>814</v>
      </c>
      <c r="D332" s="7">
        <v>5649823.4562999997</v>
      </c>
    </row>
    <row r="333" spans="1:4">
      <c r="A333" s="5">
        <v>328</v>
      </c>
      <c r="B333" s="5" t="s">
        <v>99</v>
      </c>
      <c r="C333" s="5" t="s">
        <v>816</v>
      </c>
      <c r="D333" s="7">
        <v>6354605.0148999998</v>
      </c>
    </row>
    <row r="334" spans="1:4">
      <c r="A334" s="5">
        <v>329</v>
      </c>
      <c r="B334" s="5" t="s">
        <v>99</v>
      </c>
      <c r="C334" s="5" t="s">
        <v>818</v>
      </c>
      <c r="D334" s="7">
        <v>4657313.5669999998</v>
      </c>
    </row>
    <row r="335" spans="1:4">
      <c r="A335" s="5">
        <v>330</v>
      </c>
      <c r="B335" s="5" t="s">
        <v>99</v>
      </c>
      <c r="C335" s="5" t="s">
        <v>820</v>
      </c>
      <c r="D335" s="7">
        <v>4928320.5999999996</v>
      </c>
    </row>
    <row r="336" spans="1:4">
      <c r="A336" s="5">
        <v>331</v>
      </c>
      <c r="B336" s="5" t="s">
        <v>99</v>
      </c>
      <c r="C336" s="5" t="s">
        <v>822</v>
      </c>
      <c r="D336" s="7">
        <v>5140152.2302999999</v>
      </c>
    </row>
    <row r="337" spans="1:4">
      <c r="A337" s="5">
        <v>332</v>
      </c>
      <c r="B337" s="5" t="s">
        <v>99</v>
      </c>
      <c r="C337" s="5" t="s">
        <v>824</v>
      </c>
      <c r="D337" s="7">
        <v>5310530.7558000004</v>
      </c>
    </row>
    <row r="338" spans="1:4">
      <c r="A338" s="5">
        <v>333</v>
      </c>
      <c r="B338" s="5" t="s">
        <v>99</v>
      </c>
      <c r="C338" s="5" t="s">
        <v>826</v>
      </c>
      <c r="D338" s="7">
        <v>5356449.2441999996</v>
      </c>
    </row>
    <row r="339" spans="1:4">
      <c r="A339" s="5">
        <v>334</v>
      </c>
      <c r="B339" s="5" t="s">
        <v>99</v>
      </c>
      <c r="C339" s="5" t="s">
        <v>828</v>
      </c>
      <c r="D339" s="7">
        <v>5017918.9149000002</v>
      </c>
    </row>
    <row r="340" spans="1:4">
      <c r="A340" s="5">
        <v>335</v>
      </c>
      <c r="B340" s="5" t="s">
        <v>99</v>
      </c>
      <c r="C340" s="5" t="s">
        <v>830</v>
      </c>
      <c r="D340" s="7">
        <v>4602731.8821999999</v>
      </c>
    </row>
    <row r="341" spans="1:4">
      <c r="A341" s="5">
        <v>336</v>
      </c>
      <c r="B341" s="5" t="s">
        <v>99</v>
      </c>
      <c r="C341" s="5" t="s">
        <v>832</v>
      </c>
      <c r="D341" s="7">
        <v>5648557.7084999997</v>
      </c>
    </row>
    <row r="342" spans="1:4">
      <c r="A342" s="5">
        <v>337</v>
      </c>
      <c r="B342" s="5" t="s">
        <v>99</v>
      </c>
      <c r="C342" s="5" t="s">
        <v>834</v>
      </c>
      <c r="D342" s="7">
        <v>4177156.1926000002</v>
      </c>
    </row>
    <row r="343" spans="1:4">
      <c r="A343" s="5">
        <v>338</v>
      </c>
      <c r="B343" s="5" t="s">
        <v>99</v>
      </c>
      <c r="C343" s="5" t="s">
        <v>836</v>
      </c>
      <c r="D343" s="7">
        <v>5242829.8305000002</v>
      </c>
    </row>
    <row r="344" spans="1:4">
      <c r="A344" s="5">
        <v>339</v>
      </c>
      <c r="B344" s="5" t="s">
        <v>99</v>
      </c>
      <c r="C344" s="5" t="s">
        <v>838</v>
      </c>
      <c r="D344" s="7">
        <v>4768327.1589000002</v>
      </c>
    </row>
    <row r="345" spans="1:4">
      <c r="A345" s="5">
        <v>340</v>
      </c>
      <c r="B345" s="5" t="s">
        <v>99</v>
      </c>
      <c r="C345" s="5" t="s">
        <v>840</v>
      </c>
      <c r="D345" s="7">
        <v>4418449.4762000004</v>
      </c>
    </row>
    <row r="346" spans="1:4">
      <c r="A346" s="5">
        <v>341</v>
      </c>
      <c r="B346" s="5" t="s">
        <v>100</v>
      </c>
      <c r="C346" s="5" t="s">
        <v>845</v>
      </c>
      <c r="D346" s="7">
        <v>8272611.2654999997</v>
      </c>
    </row>
    <row r="347" spans="1:4">
      <c r="A347" s="5">
        <v>342</v>
      </c>
      <c r="B347" s="5" t="s">
        <v>100</v>
      </c>
      <c r="C347" s="5" t="s">
        <v>847</v>
      </c>
      <c r="D347" s="7">
        <v>8411809.0310999993</v>
      </c>
    </row>
    <row r="348" spans="1:4">
      <c r="A348" s="5">
        <v>343</v>
      </c>
      <c r="B348" s="5" t="s">
        <v>100</v>
      </c>
      <c r="C348" s="5" t="s">
        <v>849</v>
      </c>
      <c r="D348" s="7">
        <v>6961443.7229000004</v>
      </c>
    </row>
    <row r="349" spans="1:4">
      <c r="A349" s="5">
        <v>344</v>
      </c>
      <c r="B349" s="5" t="s">
        <v>100</v>
      </c>
      <c r="C349" s="5" t="s">
        <v>851</v>
      </c>
      <c r="D349" s="7">
        <v>5360212.0756999999</v>
      </c>
    </row>
    <row r="350" spans="1:4">
      <c r="A350" s="5">
        <v>345</v>
      </c>
      <c r="B350" s="5" t="s">
        <v>100</v>
      </c>
      <c r="C350" s="5" t="s">
        <v>853</v>
      </c>
      <c r="D350" s="7">
        <v>8811946.6733999997</v>
      </c>
    </row>
    <row r="351" spans="1:4">
      <c r="A351" s="5">
        <v>346</v>
      </c>
      <c r="B351" s="5" t="s">
        <v>100</v>
      </c>
      <c r="C351" s="5" t="s">
        <v>855</v>
      </c>
      <c r="D351" s="7">
        <v>5903209.3896000003</v>
      </c>
    </row>
    <row r="352" spans="1:4">
      <c r="A352" s="5">
        <v>347</v>
      </c>
      <c r="B352" s="5" t="s">
        <v>100</v>
      </c>
      <c r="C352" s="5" t="s">
        <v>857</v>
      </c>
      <c r="D352" s="7">
        <v>5147586.9769000001</v>
      </c>
    </row>
    <row r="353" spans="1:4">
      <c r="A353" s="5">
        <v>348</v>
      </c>
      <c r="B353" s="5" t="s">
        <v>100</v>
      </c>
      <c r="C353" s="5" t="s">
        <v>859</v>
      </c>
      <c r="D353" s="7">
        <v>6858822.1390000004</v>
      </c>
    </row>
    <row r="354" spans="1:4">
      <c r="A354" s="5">
        <v>349</v>
      </c>
      <c r="B354" s="5" t="s">
        <v>100</v>
      </c>
      <c r="C354" s="5" t="s">
        <v>861</v>
      </c>
      <c r="D354" s="7">
        <v>7565994.2896999996</v>
      </c>
    </row>
    <row r="355" spans="1:4">
      <c r="A355" s="5">
        <v>350</v>
      </c>
      <c r="B355" s="5" t="s">
        <v>100</v>
      </c>
      <c r="C355" s="5" t="s">
        <v>863</v>
      </c>
      <c r="D355" s="7">
        <v>7147601.5603999998</v>
      </c>
    </row>
    <row r="356" spans="1:4">
      <c r="A356" s="5">
        <v>351</v>
      </c>
      <c r="B356" s="5" t="s">
        <v>100</v>
      </c>
      <c r="C356" s="5" t="s">
        <v>865</v>
      </c>
      <c r="D356" s="7">
        <v>7631182.7501999997</v>
      </c>
    </row>
    <row r="357" spans="1:4">
      <c r="A357" s="5">
        <v>352</v>
      </c>
      <c r="B357" s="5" t="s">
        <v>100</v>
      </c>
      <c r="C357" s="5" t="s">
        <v>867</v>
      </c>
      <c r="D357" s="7">
        <v>6594670.2166999998</v>
      </c>
    </row>
    <row r="358" spans="1:4">
      <c r="A358" s="5">
        <v>353</v>
      </c>
      <c r="B358" s="5" t="s">
        <v>100</v>
      </c>
      <c r="C358" s="5" t="s">
        <v>869</v>
      </c>
      <c r="D358" s="7">
        <v>5713409.2542000003</v>
      </c>
    </row>
    <row r="359" spans="1:4">
      <c r="A359" s="5">
        <v>354</v>
      </c>
      <c r="B359" s="5" t="s">
        <v>100</v>
      </c>
      <c r="C359" s="5" t="s">
        <v>871</v>
      </c>
      <c r="D359" s="7">
        <v>5882936.2150999997</v>
      </c>
    </row>
    <row r="360" spans="1:4">
      <c r="A360" s="5">
        <v>355</v>
      </c>
      <c r="B360" s="5" t="s">
        <v>100</v>
      </c>
      <c r="C360" s="5" t="s">
        <v>873</v>
      </c>
      <c r="D360" s="7">
        <v>6810074.5725999996</v>
      </c>
    </row>
    <row r="361" spans="1:4">
      <c r="A361" s="5">
        <v>356</v>
      </c>
      <c r="B361" s="5" t="s">
        <v>100</v>
      </c>
      <c r="C361" s="5" t="s">
        <v>875</v>
      </c>
      <c r="D361" s="7">
        <v>5282122.3416999998</v>
      </c>
    </row>
    <row r="362" spans="1:4">
      <c r="A362" s="5">
        <v>357</v>
      </c>
      <c r="B362" s="5" t="s">
        <v>100</v>
      </c>
      <c r="C362" s="5" t="s">
        <v>877</v>
      </c>
      <c r="D362" s="7">
        <v>7349666.7270999998</v>
      </c>
    </row>
    <row r="363" spans="1:4">
      <c r="A363" s="5">
        <v>358</v>
      </c>
      <c r="B363" s="5" t="s">
        <v>100</v>
      </c>
      <c r="C363" s="5" t="s">
        <v>879</v>
      </c>
      <c r="D363" s="7">
        <v>4943489.6085999999</v>
      </c>
    </row>
    <row r="364" spans="1:4">
      <c r="A364" s="5">
        <v>359</v>
      </c>
      <c r="B364" s="5" t="s">
        <v>100</v>
      </c>
      <c r="C364" s="5" t="s">
        <v>881</v>
      </c>
      <c r="D364" s="7">
        <v>6522928.2333000004</v>
      </c>
    </row>
    <row r="365" spans="1:4">
      <c r="A365" s="5">
        <v>360</v>
      </c>
      <c r="B365" s="5" t="s">
        <v>100</v>
      </c>
      <c r="C365" s="5" t="s">
        <v>883</v>
      </c>
      <c r="D365" s="7">
        <v>5468999.5782000003</v>
      </c>
    </row>
    <row r="366" spans="1:4">
      <c r="A366" s="5">
        <v>361</v>
      </c>
      <c r="B366" s="5" t="s">
        <v>100</v>
      </c>
      <c r="C366" s="5" t="s">
        <v>885</v>
      </c>
      <c r="D366" s="7">
        <v>6970979.3870000001</v>
      </c>
    </row>
    <row r="367" spans="1:4">
      <c r="A367" s="5">
        <v>362</v>
      </c>
      <c r="B367" s="5" t="s">
        <v>100</v>
      </c>
      <c r="C367" s="5" t="s">
        <v>887</v>
      </c>
      <c r="D367" s="7">
        <v>7799120.5451999996</v>
      </c>
    </row>
    <row r="368" spans="1:4">
      <c r="A368" s="5">
        <v>363</v>
      </c>
      <c r="B368" s="5" t="s">
        <v>100</v>
      </c>
      <c r="C368" s="5" t="s">
        <v>889</v>
      </c>
      <c r="D368" s="7">
        <v>7963575.9013</v>
      </c>
    </row>
    <row r="369" spans="1:4">
      <c r="A369" s="5">
        <v>364</v>
      </c>
      <c r="B369" s="5" t="s">
        <v>101</v>
      </c>
      <c r="C369" s="5" t="s">
        <v>893</v>
      </c>
      <c r="D369" s="7">
        <v>5110386.8881000001</v>
      </c>
    </row>
    <row r="370" spans="1:4">
      <c r="A370" s="5">
        <v>365</v>
      </c>
      <c r="B370" s="5" t="s">
        <v>101</v>
      </c>
      <c r="C370" s="5" t="s">
        <v>895</v>
      </c>
      <c r="D370" s="7">
        <v>5234379.2079999996</v>
      </c>
    </row>
    <row r="371" spans="1:4">
      <c r="A371" s="5">
        <v>366</v>
      </c>
      <c r="B371" s="5" t="s">
        <v>101</v>
      </c>
      <c r="C371" s="5" t="s">
        <v>896</v>
      </c>
      <c r="D371" s="7">
        <v>4772722.5838000001</v>
      </c>
    </row>
    <row r="372" spans="1:4">
      <c r="A372" s="5">
        <v>367</v>
      </c>
      <c r="B372" s="5" t="s">
        <v>101</v>
      </c>
      <c r="C372" s="5" t="s">
        <v>898</v>
      </c>
      <c r="D372" s="7">
        <v>5177744.1780000003</v>
      </c>
    </row>
    <row r="373" spans="1:4">
      <c r="A373" s="5">
        <v>368</v>
      </c>
      <c r="B373" s="5" t="s">
        <v>101</v>
      </c>
      <c r="C373" s="5" t="s">
        <v>900</v>
      </c>
      <c r="D373" s="7">
        <v>6275596.3907000003</v>
      </c>
    </row>
    <row r="374" spans="1:4">
      <c r="A374" s="5">
        <v>369</v>
      </c>
      <c r="B374" s="5" t="s">
        <v>101</v>
      </c>
      <c r="C374" s="5" t="s">
        <v>902</v>
      </c>
      <c r="D374" s="7">
        <v>4999798.5153000001</v>
      </c>
    </row>
    <row r="375" spans="1:4">
      <c r="A375" s="5">
        <v>370</v>
      </c>
      <c r="B375" s="5" t="s">
        <v>101</v>
      </c>
      <c r="C375" s="5" t="s">
        <v>904</v>
      </c>
      <c r="D375" s="7">
        <v>8070218.6293000001</v>
      </c>
    </row>
    <row r="376" spans="1:4">
      <c r="A376" s="5">
        <v>371</v>
      </c>
      <c r="B376" s="5" t="s">
        <v>101</v>
      </c>
      <c r="C376" s="5" t="s">
        <v>906</v>
      </c>
      <c r="D376" s="7">
        <v>5498367.3540000003</v>
      </c>
    </row>
    <row r="377" spans="1:4">
      <c r="A377" s="5">
        <v>372</v>
      </c>
      <c r="B377" s="5" t="s">
        <v>101</v>
      </c>
      <c r="C377" s="5" t="s">
        <v>908</v>
      </c>
      <c r="D377" s="7">
        <v>5910531.4738999996</v>
      </c>
    </row>
    <row r="378" spans="1:4">
      <c r="A378" s="5">
        <v>373</v>
      </c>
      <c r="B378" s="5" t="s">
        <v>101</v>
      </c>
      <c r="C378" s="5" t="s">
        <v>910</v>
      </c>
      <c r="D378" s="7">
        <v>5951927.1617999999</v>
      </c>
    </row>
    <row r="379" spans="1:4">
      <c r="A379" s="5">
        <v>374</v>
      </c>
      <c r="B379" s="5" t="s">
        <v>101</v>
      </c>
      <c r="C379" s="5" t="s">
        <v>911</v>
      </c>
      <c r="D379" s="7">
        <v>5516613.8891000003</v>
      </c>
    </row>
    <row r="380" spans="1:4">
      <c r="A380" s="5">
        <v>375</v>
      </c>
      <c r="B380" s="5" t="s">
        <v>101</v>
      </c>
      <c r="C380" s="5" t="s">
        <v>913</v>
      </c>
      <c r="D380" s="7">
        <v>5404537.8695999999</v>
      </c>
    </row>
    <row r="381" spans="1:4">
      <c r="A381" s="5">
        <v>376</v>
      </c>
      <c r="B381" s="5" t="s">
        <v>101</v>
      </c>
      <c r="C381" s="5" t="s">
        <v>915</v>
      </c>
      <c r="D381" s="7">
        <v>5646977.9622999998</v>
      </c>
    </row>
    <row r="382" spans="1:4">
      <c r="A382" s="5">
        <v>377</v>
      </c>
      <c r="B382" s="5" t="s">
        <v>101</v>
      </c>
      <c r="C382" s="5" t="s">
        <v>917</v>
      </c>
      <c r="D382" s="7">
        <v>5037129.6824000003</v>
      </c>
    </row>
    <row r="383" spans="1:4">
      <c r="A383" s="5">
        <v>378</v>
      </c>
      <c r="B383" s="5" t="s">
        <v>101</v>
      </c>
      <c r="C383" s="5" t="s">
        <v>919</v>
      </c>
      <c r="D383" s="7">
        <v>5010844.7214000002</v>
      </c>
    </row>
    <row r="384" spans="1:4">
      <c r="A384" s="5">
        <v>379</v>
      </c>
      <c r="B384" s="5" t="s">
        <v>101</v>
      </c>
      <c r="C384" s="5" t="s">
        <v>921</v>
      </c>
      <c r="D384" s="7">
        <v>5415574.9775</v>
      </c>
    </row>
    <row r="385" spans="1:4">
      <c r="A385" s="5">
        <v>380</v>
      </c>
      <c r="B385" s="5" t="s">
        <v>101</v>
      </c>
      <c r="C385" s="5" t="s">
        <v>923</v>
      </c>
      <c r="D385" s="7">
        <v>6184211.2030999996</v>
      </c>
    </row>
    <row r="386" spans="1:4">
      <c r="A386" s="5">
        <v>381</v>
      </c>
      <c r="B386" s="5" t="s">
        <v>101</v>
      </c>
      <c r="C386" s="5" t="s">
        <v>925</v>
      </c>
      <c r="D386" s="7">
        <v>7435101.9337999998</v>
      </c>
    </row>
    <row r="387" spans="1:4">
      <c r="A387" s="5">
        <v>382</v>
      </c>
      <c r="B387" s="5" t="s">
        <v>101</v>
      </c>
      <c r="C387" s="5" t="s">
        <v>928</v>
      </c>
      <c r="D387" s="7">
        <v>5111816.2493000003</v>
      </c>
    </row>
    <row r="388" spans="1:4">
      <c r="A388" s="5">
        <v>383</v>
      </c>
      <c r="B388" s="5" t="s">
        <v>101</v>
      </c>
      <c r="C388" s="5" t="s">
        <v>930</v>
      </c>
      <c r="D388" s="7">
        <v>4925575.4116000002</v>
      </c>
    </row>
    <row r="389" spans="1:4">
      <c r="A389" s="5">
        <v>384</v>
      </c>
      <c r="B389" s="5" t="s">
        <v>101</v>
      </c>
      <c r="C389" s="5" t="s">
        <v>932</v>
      </c>
      <c r="D389" s="7">
        <v>7176614.2703</v>
      </c>
    </row>
    <row r="390" spans="1:4">
      <c r="A390" s="5">
        <v>385</v>
      </c>
      <c r="B390" s="5" t="s">
        <v>101</v>
      </c>
      <c r="C390" s="5" t="s">
        <v>934</v>
      </c>
      <c r="D390" s="7">
        <v>4776315.6228999998</v>
      </c>
    </row>
    <row r="391" spans="1:4">
      <c r="A391" s="5">
        <v>386</v>
      </c>
      <c r="B391" s="5" t="s">
        <v>101</v>
      </c>
      <c r="C391" s="5" t="s">
        <v>936</v>
      </c>
      <c r="D391" s="7">
        <v>4820280.8748000003</v>
      </c>
    </row>
    <row r="392" spans="1:4">
      <c r="A392" s="5">
        <v>387</v>
      </c>
      <c r="B392" s="5" t="s">
        <v>101</v>
      </c>
      <c r="C392" s="5" t="s">
        <v>938</v>
      </c>
      <c r="D392" s="7">
        <v>6218742.3114999998</v>
      </c>
    </row>
    <row r="393" spans="1:4">
      <c r="A393" s="5">
        <v>388</v>
      </c>
      <c r="B393" s="5" t="s">
        <v>101</v>
      </c>
      <c r="C393" s="5" t="s">
        <v>940</v>
      </c>
      <c r="D393" s="7">
        <v>6354175.7197000002</v>
      </c>
    </row>
    <row r="394" spans="1:4">
      <c r="A394" s="5">
        <v>389</v>
      </c>
      <c r="B394" s="5" t="s">
        <v>101</v>
      </c>
      <c r="C394" s="5" t="s">
        <v>129</v>
      </c>
      <c r="D394" s="7">
        <v>4872507.9168999996</v>
      </c>
    </row>
    <row r="395" spans="1:4">
      <c r="A395" s="5">
        <v>390</v>
      </c>
      <c r="B395" s="5" t="s">
        <v>101</v>
      </c>
      <c r="C395" s="5" t="s">
        <v>131</v>
      </c>
      <c r="D395" s="7">
        <v>4771811.1952</v>
      </c>
    </row>
    <row r="396" spans="1:4">
      <c r="A396" s="5">
        <v>391</v>
      </c>
      <c r="B396" s="5" t="s">
        <v>101</v>
      </c>
      <c r="C396" s="5" t="s">
        <v>133</v>
      </c>
      <c r="D396" s="7">
        <v>4776130.7460000003</v>
      </c>
    </row>
    <row r="397" spans="1:4">
      <c r="A397" s="5">
        <v>392</v>
      </c>
      <c r="B397" s="5" t="s">
        <v>101</v>
      </c>
      <c r="C397" s="5" t="s">
        <v>135</v>
      </c>
      <c r="D397" s="7">
        <v>5660507.5393000003</v>
      </c>
    </row>
    <row r="398" spans="1:4">
      <c r="A398" s="5">
        <v>393</v>
      </c>
      <c r="B398" s="5" t="s">
        <v>101</v>
      </c>
      <c r="C398" s="5" t="s">
        <v>137</v>
      </c>
      <c r="D398" s="7">
        <v>5704789.5635000002</v>
      </c>
    </row>
    <row r="399" spans="1:4">
      <c r="A399" s="5">
        <v>394</v>
      </c>
      <c r="B399" s="5" t="s">
        <v>101</v>
      </c>
      <c r="C399" s="5" t="s">
        <v>107</v>
      </c>
      <c r="D399" s="7">
        <v>9863429.9706999995</v>
      </c>
    </row>
    <row r="400" spans="1:4">
      <c r="A400" s="5">
        <v>395</v>
      </c>
      <c r="B400" s="5" t="s">
        <v>101</v>
      </c>
      <c r="C400" s="5" t="s">
        <v>140</v>
      </c>
      <c r="D400" s="7">
        <v>4940374.2857999997</v>
      </c>
    </row>
    <row r="401" spans="1:4">
      <c r="A401" s="5">
        <v>396</v>
      </c>
      <c r="B401" s="5" t="s">
        <v>101</v>
      </c>
      <c r="C401" s="5" t="s">
        <v>142</v>
      </c>
      <c r="D401" s="7">
        <v>4889345.398</v>
      </c>
    </row>
    <row r="402" spans="1:4">
      <c r="A402" s="5">
        <v>397</v>
      </c>
      <c r="B402" s="5" t="s">
        <v>101</v>
      </c>
      <c r="C402" s="5" t="s">
        <v>144</v>
      </c>
      <c r="D402" s="7">
        <v>5852670.2736999998</v>
      </c>
    </row>
    <row r="403" spans="1:4">
      <c r="A403" s="5">
        <v>398</v>
      </c>
      <c r="B403" s="5" t="s">
        <v>101</v>
      </c>
      <c r="C403" s="5" t="s">
        <v>146</v>
      </c>
      <c r="D403" s="7">
        <v>4829017.0906999996</v>
      </c>
    </row>
    <row r="404" spans="1:4">
      <c r="A404" s="5">
        <v>399</v>
      </c>
      <c r="B404" s="5" t="s">
        <v>101</v>
      </c>
      <c r="C404" s="5" t="s">
        <v>148</v>
      </c>
      <c r="D404" s="7">
        <v>6112003.8948999997</v>
      </c>
    </row>
    <row r="405" spans="1:4">
      <c r="A405" s="5">
        <v>400</v>
      </c>
      <c r="B405" s="5" t="s">
        <v>101</v>
      </c>
      <c r="C405" s="5" t="s">
        <v>150</v>
      </c>
      <c r="D405" s="7">
        <v>5367319.2481000004</v>
      </c>
    </row>
    <row r="406" spans="1:4">
      <c r="A406" s="5">
        <v>401</v>
      </c>
      <c r="B406" s="5" t="s">
        <v>101</v>
      </c>
      <c r="C406" s="5" t="s">
        <v>152</v>
      </c>
      <c r="D406" s="7">
        <v>5581226.4162999997</v>
      </c>
    </row>
    <row r="407" spans="1:4">
      <c r="A407" s="5">
        <v>402</v>
      </c>
      <c r="B407" s="5" t="s">
        <v>101</v>
      </c>
      <c r="C407" s="5" t="s">
        <v>154</v>
      </c>
      <c r="D407" s="7">
        <v>4393840.1509999996</v>
      </c>
    </row>
    <row r="408" spans="1:4">
      <c r="A408" s="5">
        <v>403</v>
      </c>
      <c r="B408" s="5" t="s">
        <v>101</v>
      </c>
      <c r="C408" s="5" t="s">
        <v>156</v>
      </c>
      <c r="D408" s="7">
        <v>4844364.8048999999</v>
      </c>
    </row>
    <row r="409" spans="1:4">
      <c r="A409" s="5">
        <v>404</v>
      </c>
      <c r="B409" s="5" t="s">
        <v>101</v>
      </c>
      <c r="C409" s="5" t="s">
        <v>158</v>
      </c>
      <c r="D409" s="7">
        <v>5973273.8477999996</v>
      </c>
    </row>
    <row r="410" spans="1:4">
      <c r="A410" s="5">
        <v>405</v>
      </c>
      <c r="B410" s="5" t="s">
        <v>101</v>
      </c>
      <c r="C410" s="5" t="s">
        <v>160</v>
      </c>
      <c r="D410" s="7">
        <v>6983782.6654000003</v>
      </c>
    </row>
    <row r="411" spans="1:4">
      <c r="A411" s="5">
        <v>406</v>
      </c>
      <c r="B411" s="5" t="s">
        <v>101</v>
      </c>
      <c r="C411" s="5" t="s">
        <v>162</v>
      </c>
      <c r="D411" s="7">
        <v>4557630.3369000005</v>
      </c>
    </row>
    <row r="412" spans="1:4">
      <c r="A412" s="5">
        <v>407</v>
      </c>
      <c r="B412" s="5" t="s">
        <v>101</v>
      </c>
      <c r="C412" s="5" t="s">
        <v>165</v>
      </c>
      <c r="D412" s="7">
        <v>5359138.8373999996</v>
      </c>
    </row>
    <row r="413" spans="1:4">
      <c r="A413" s="5">
        <v>408</v>
      </c>
      <c r="B413" s="5" t="s">
        <v>102</v>
      </c>
      <c r="C413" s="5" t="s">
        <v>168</v>
      </c>
      <c r="D413" s="7">
        <v>5445669.2873</v>
      </c>
    </row>
    <row r="414" spans="1:4">
      <c r="A414" s="5">
        <v>409</v>
      </c>
      <c r="B414" s="5" t="s">
        <v>102</v>
      </c>
      <c r="C414" s="5" t="s">
        <v>170</v>
      </c>
      <c r="D414" s="7">
        <v>5611442.9387999997</v>
      </c>
    </row>
    <row r="415" spans="1:4">
      <c r="A415" s="5">
        <v>410</v>
      </c>
      <c r="B415" s="5" t="s">
        <v>102</v>
      </c>
      <c r="C415" s="5" t="s">
        <v>172</v>
      </c>
      <c r="D415" s="7">
        <v>6104719.7899000002</v>
      </c>
    </row>
    <row r="416" spans="1:4">
      <c r="A416" s="5">
        <v>411</v>
      </c>
      <c r="B416" s="5" t="s">
        <v>102</v>
      </c>
      <c r="C416" s="5" t="s">
        <v>174</v>
      </c>
      <c r="D416" s="7">
        <v>5723781.9356000004</v>
      </c>
    </row>
    <row r="417" spans="1:4">
      <c r="A417" s="5">
        <v>412</v>
      </c>
      <c r="B417" s="5" t="s">
        <v>102</v>
      </c>
      <c r="C417" s="5" t="s">
        <v>176</v>
      </c>
      <c r="D417" s="7">
        <v>5352985.0203</v>
      </c>
    </row>
    <row r="418" spans="1:4">
      <c r="A418" s="5">
        <v>413</v>
      </c>
      <c r="B418" s="5" t="s">
        <v>102</v>
      </c>
      <c r="C418" s="5" t="s">
        <v>178</v>
      </c>
      <c r="D418" s="7">
        <v>5007100.4084999999</v>
      </c>
    </row>
    <row r="419" spans="1:4">
      <c r="A419" s="5">
        <v>414</v>
      </c>
      <c r="B419" s="5" t="s">
        <v>102</v>
      </c>
      <c r="C419" s="5" t="s">
        <v>180</v>
      </c>
      <c r="D419" s="7">
        <v>5023486.3069000002</v>
      </c>
    </row>
    <row r="420" spans="1:4">
      <c r="A420" s="5">
        <v>415</v>
      </c>
      <c r="B420" s="5" t="s">
        <v>102</v>
      </c>
      <c r="C420" s="5" t="s">
        <v>182</v>
      </c>
      <c r="D420" s="7">
        <v>5378646.0763999997</v>
      </c>
    </row>
    <row r="421" spans="1:4">
      <c r="A421" s="5">
        <v>416</v>
      </c>
      <c r="B421" s="5" t="s">
        <v>102</v>
      </c>
      <c r="C421" s="5" t="s">
        <v>184</v>
      </c>
      <c r="D421" s="7">
        <v>5044914.2932000002</v>
      </c>
    </row>
    <row r="422" spans="1:4">
      <c r="A422" s="5">
        <v>417</v>
      </c>
      <c r="B422" s="5" t="s">
        <v>102</v>
      </c>
      <c r="C422" s="5" t="s">
        <v>186</v>
      </c>
      <c r="D422" s="7">
        <v>6082620.6212999998</v>
      </c>
    </row>
    <row r="423" spans="1:4">
      <c r="A423" s="5">
        <v>418</v>
      </c>
      <c r="B423" s="5" t="s">
        <v>102</v>
      </c>
      <c r="C423" s="5" t="s">
        <v>188</v>
      </c>
      <c r="D423" s="7">
        <v>5020090.8523000004</v>
      </c>
    </row>
    <row r="424" spans="1:4">
      <c r="A424" s="5">
        <v>419</v>
      </c>
      <c r="B424" s="5" t="s">
        <v>102</v>
      </c>
      <c r="C424" s="5" t="s">
        <v>190</v>
      </c>
      <c r="D424" s="7">
        <v>5575674.0202000001</v>
      </c>
    </row>
    <row r="425" spans="1:4">
      <c r="A425" s="5">
        <v>420</v>
      </c>
      <c r="B425" s="5" t="s">
        <v>102</v>
      </c>
      <c r="C425" s="5" t="s">
        <v>192</v>
      </c>
      <c r="D425" s="7">
        <v>6076220.6584999999</v>
      </c>
    </row>
    <row r="426" spans="1:4">
      <c r="A426" s="5">
        <v>421</v>
      </c>
      <c r="B426" s="5" t="s">
        <v>102</v>
      </c>
      <c r="C426" s="5" t="s">
        <v>194</v>
      </c>
      <c r="D426" s="7">
        <v>6062013.2011000002</v>
      </c>
    </row>
    <row r="427" spans="1:4">
      <c r="A427" s="5">
        <v>422</v>
      </c>
      <c r="B427" s="5" t="s">
        <v>102</v>
      </c>
      <c r="C427" s="5" t="s">
        <v>196</v>
      </c>
      <c r="D427" s="7">
        <v>5293685.7155999998</v>
      </c>
    </row>
    <row r="428" spans="1:4">
      <c r="A428" s="5">
        <v>423</v>
      </c>
      <c r="B428" s="5" t="s">
        <v>102</v>
      </c>
      <c r="C428" s="5" t="s">
        <v>198</v>
      </c>
      <c r="D428" s="7">
        <v>5963735.5846999995</v>
      </c>
    </row>
    <row r="429" spans="1:4">
      <c r="A429" s="5">
        <v>424</v>
      </c>
      <c r="B429" s="5" t="s">
        <v>102</v>
      </c>
      <c r="C429" s="5" t="s">
        <v>200</v>
      </c>
      <c r="D429" s="7">
        <v>6156281.8052000003</v>
      </c>
    </row>
    <row r="430" spans="1:4">
      <c r="A430" s="5">
        <v>425</v>
      </c>
      <c r="B430" s="5" t="s">
        <v>102</v>
      </c>
      <c r="C430" s="5" t="s">
        <v>202</v>
      </c>
      <c r="D430" s="7">
        <v>5893254.2598999999</v>
      </c>
    </row>
    <row r="431" spans="1:4">
      <c r="A431" s="5">
        <v>426</v>
      </c>
      <c r="B431" s="5" t="s">
        <v>102</v>
      </c>
      <c r="C431" s="5" t="s">
        <v>204</v>
      </c>
      <c r="D431" s="7">
        <v>6462625.4802000001</v>
      </c>
    </row>
    <row r="432" spans="1:4">
      <c r="A432" s="5">
        <v>427</v>
      </c>
      <c r="B432" s="5" t="s">
        <v>102</v>
      </c>
      <c r="C432" s="5" t="s">
        <v>206</v>
      </c>
      <c r="D432" s="7">
        <v>5146334.0274999999</v>
      </c>
    </row>
    <row r="433" spans="1:4">
      <c r="A433" s="5">
        <v>428</v>
      </c>
      <c r="B433" s="5" t="s">
        <v>102</v>
      </c>
      <c r="C433" s="5" t="s">
        <v>102</v>
      </c>
      <c r="D433" s="7">
        <v>7087862.0697999997</v>
      </c>
    </row>
    <row r="434" spans="1:4">
      <c r="A434" s="5">
        <v>429</v>
      </c>
      <c r="B434" s="5" t="s">
        <v>102</v>
      </c>
      <c r="C434" s="5" t="s">
        <v>210</v>
      </c>
      <c r="D434" s="7">
        <v>4987324.4029999999</v>
      </c>
    </row>
    <row r="435" spans="1:4">
      <c r="A435" s="5">
        <v>430</v>
      </c>
      <c r="B435" s="5" t="s">
        <v>102</v>
      </c>
      <c r="C435" s="5" t="s">
        <v>212</v>
      </c>
      <c r="D435" s="7">
        <v>4711699.4813999999</v>
      </c>
    </row>
    <row r="436" spans="1:4">
      <c r="A436" s="5">
        <v>431</v>
      </c>
      <c r="B436" s="5" t="s">
        <v>102</v>
      </c>
      <c r="C436" s="5" t="s">
        <v>214</v>
      </c>
      <c r="D436" s="7">
        <v>5731711.7960000001</v>
      </c>
    </row>
    <row r="437" spans="1:4">
      <c r="A437" s="5">
        <v>432</v>
      </c>
      <c r="B437" s="5" t="s">
        <v>102</v>
      </c>
      <c r="C437" s="5" t="s">
        <v>216</v>
      </c>
      <c r="D437" s="7">
        <v>5703741.5177999996</v>
      </c>
    </row>
    <row r="438" spans="1:4">
      <c r="A438" s="5">
        <v>433</v>
      </c>
      <c r="B438" s="5" t="s">
        <v>102</v>
      </c>
      <c r="C438" s="5" t="s">
        <v>218</v>
      </c>
      <c r="D438" s="7">
        <v>5410408.7240000004</v>
      </c>
    </row>
    <row r="439" spans="1:4">
      <c r="A439" s="5">
        <v>434</v>
      </c>
      <c r="B439" s="5" t="s">
        <v>102</v>
      </c>
      <c r="C439" s="5" t="s">
        <v>220</v>
      </c>
      <c r="D439" s="7">
        <v>5524039.6058999998</v>
      </c>
    </row>
    <row r="440" spans="1:4">
      <c r="A440" s="5">
        <v>435</v>
      </c>
      <c r="B440" s="5" t="s">
        <v>102</v>
      </c>
      <c r="C440" s="5" t="s">
        <v>222</v>
      </c>
      <c r="D440" s="7">
        <v>4652979.1078000003</v>
      </c>
    </row>
    <row r="441" spans="1:4">
      <c r="A441" s="5">
        <v>436</v>
      </c>
      <c r="B441" s="5" t="s">
        <v>102</v>
      </c>
      <c r="C441" s="5" t="s">
        <v>224</v>
      </c>
      <c r="D441" s="7">
        <v>5567583.8848000001</v>
      </c>
    </row>
    <row r="442" spans="1:4">
      <c r="A442" s="5">
        <v>437</v>
      </c>
      <c r="B442" s="5" t="s">
        <v>102</v>
      </c>
      <c r="C442" s="5" t="s">
        <v>226</v>
      </c>
      <c r="D442" s="7">
        <v>5022295.7721999995</v>
      </c>
    </row>
    <row r="443" spans="1:4">
      <c r="A443" s="5">
        <v>438</v>
      </c>
      <c r="B443" s="5" t="s">
        <v>102</v>
      </c>
      <c r="C443" s="5" t="s">
        <v>228</v>
      </c>
      <c r="D443" s="7">
        <v>5203538.6805999996</v>
      </c>
    </row>
    <row r="444" spans="1:4">
      <c r="A444" s="5">
        <v>439</v>
      </c>
      <c r="B444" s="5" t="s">
        <v>102</v>
      </c>
      <c r="C444" s="5" t="s">
        <v>230</v>
      </c>
      <c r="D444" s="7">
        <v>5583290.1836000001</v>
      </c>
    </row>
    <row r="445" spans="1:4">
      <c r="A445" s="5">
        <v>440</v>
      </c>
      <c r="B445" s="5" t="s">
        <v>102</v>
      </c>
      <c r="C445" s="5" t="s">
        <v>232</v>
      </c>
      <c r="D445" s="7">
        <v>5411259.9413000001</v>
      </c>
    </row>
    <row r="446" spans="1:4">
      <c r="A446" s="5">
        <v>441</v>
      </c>
      <c r="B446" s="5" t="s">
        <v>102</v>
      </c>
      <c r="C446" s="5" t="s">
        <v>234</v>
      </c>
      <c r="D446" s="7">
        <v>5303478.7241000002</v>
      </c>
    </row>
    <row r="447" spans="1:4">
      <c r="A447" s="5">
        <v>442</v>
      </c>
      <c r="B447" s="5" t="s">
        <v>103</v>
      </c>
      <c r="C447" s="5" t="s">
        <v>238</v>
      </c>
      <c r="D447" s="7">
        <v>4246303.6562000001</v>
      </c>
    </row>
    <row r="448" spans="1:4">
      <c r="A448" s="5">
        <v>443</v>
      </c>
      <c r="B448" s="5" t="s">
        <v>103</v>
      </c>
      <c r="C448" s="5" t="s">
        <v>240</v>
      </c>
      <c r="D448" s="7">
        <v>6938292.0229000002</v>
      </c>
    </row>
    <row r="449" spans="1:4">
      <c r="A449" s="5">
        <v>444</v>
      </c>
      <c r="B449" s="5" t="s">
        <v>103</v>
      </c>
      <c r="C449" s="5" t="s">
        <v>242</v>
      </c>
      <c r="D449" s="7">
        <v>5844066.1605000002</v>
      </c>
    </row>
    <row r="450" spans="1:4">
      <c r="A450" s="5">
        <v>445</v>
      </c>
      <c r="B450" s="5" t="s">
        <v>103</v>
      </c>
      <c r="C450" s="5" t="s">
        <v>244</v>
      </c>
      <c r="D450" s="7">
        <v>4825260.7943000002</v>
      </c>
    </row>
    <row r="451" spans="1:4">
      <c r="A451" s="5">
        <v>446</v>
      </c>
      <c r="B451" s="5" t="s">
        <v>103</v>
      </c>
      <c r="C451" s="5" t="s">
        <v>246</v>
      </c>
      <c r="D451" s="7">
        <v>6426306.7671999997</v>
      </c>
    </row>
    <row r="452" spans="1:4">
      <c r="A452" s="5">
        <v>447</v>
      </c>
      <c r="B452" s="5" t="s">
        <v>103</v>
      </c>
      <c r="C452" s="5" t="s">
        <v>248</v>
      </c>
      <c r="D452" s="7">
        <v>7862197.5862999996</v>
      </c>
    </row>
    <row r="453" spans="1:4">
      <c r="A453" s="5">
        <v>448</v>
      </c>
      <c r="B453" s="5" t="s">
        <v>103</v>
      </c>
      <c r="C453" s="5" t="s">
        <v>250</v>
      </c>
      <c r="D453" s="7">
        <v>5356297.6438999996</v>
      </c>
    </row>
    <row r="454" spans="1:4">
      <c r="A454" s="5">
        <v>449</v>
      </c>
      <c r="B454" s="5" t="s">
        <v>103</v>
      </c>
      <c r="C454" s="5" t="s">
        <v>252</v>
      </c>
      <c r="D454" s="7">
        <v>5690288.3294000002</v>
      </c>
    </row>
    <row r="455" spans="1:4">
      <c r="A455" s="5">
        <v>450</v>
      </c>
      <c r="B455" s="5" t="s">
        <v>103</v>
      </c>
      <c r="C455" s="5" t="s">
        <v>254</v>
      </c>
      <c r="D455" s="7">
        <v>7069124.3178000003</v>
      </c>
    </row>
    <row r="456" spans="1:4">
      <c r="A456" s="5">
        <v>451</v>
      </c>
      <c r="B456" s="5" t="s">
        <v>103</v>
      </c>
      <c r="C456" s="5" t="s">
        <v>256</v>
      </c>
      <c r="D456" s="7">
        <v>4922283.3076999998</v>
      </c>
    </row>
    <row r="457" spans="1:4">
      <c r="A457" s="5">
        <v>452</v>
      </c>
      <c r="B457" s="5" t="s">
        <v>103</v>
      </c>
      <c r="C457" s="5" t="s">
        <v>258</v>
      </c>
      <c r="D457" s="7">
        <v>5199215.8147999998</v>
      </c>
    </row>
    <row r="458" spans="1:4">
      <c r="A458" s="5">
        <v>453</v>
      </c>
      <c r="B458" s="5" t="s">
        <v>103</v>
      </c>
      <c r="C458" s="5" t="s">
        <v>260</v>
      </c>
      <c r="D458" s="7">
        <v>5735865.1628999999</v>
      </c>
    </row>
    <row r="459" spans="1:4">
      <c r="A459" s="5">
        <v>454</v>
      </c>
      <c r="B459" s="5" t="s">
        <v>103</v>
      </c>
      <c r="C459" s="5" t="s">
        <v>262</v>
      </c>
      <c r="D459" s="7">
        <v>4773492.7111999998</v>
      </c>
    </row>
    <row r="460" spans="1:4">
      <c r="A460" s="5">
        <v>455</v>
      </c>
      <c r="B460" s="5" t="s">
        <v>103</v>
      </c>
      <c r="C460" s="5" t="s">
        <v>264</v>
      </c>
      <c r="D460" s="7">
        <v>5477894.8482999997</v>
      </c>
    </row>
    <row r="461" spans="1:4">
      <c r="A461" s="5">
        <v>456</v>
      </c>
      <c r="B461" s="5" t="s">
        <v>103</v>
      </c>
      <c r="C461" s="5" t="s">
        <v>266</v>
      </c>
      <c r="D461" s="7">
        <v>6337405.6490000002</v>
      </c>
    </row>
    <row r="462" spans="1:4">
      <c r="A462" s="5">
        <v>457</v>
      </c>
      <c r="B462" s="5" t="s">
        <v>103</v>
      </c>
      <c r="C462" s="5" t="s">
        <v>268</v>
      </c>
      <c r="D462" s="7">
        <v>5077490.0521999998</v>
      </c>
    </row>
    <row r="463" spans="1:4">
      <c r="A463" s="5">
        <v>458</v>
      </c>
      <c r="B463" s="5" t="s">
        <v>103</v>
      </c>
      <c r="C463" s="5" t="s">
        <v>270</v>
      </c>
      <c r="D463" s="7">
        <v>5003708.1079000002</v>
      </c>
    </row>
    <row r="464" spans="1:4">
      <c r="A464" s="5">
        <v>459</v>
      </c>
      <c r="B464" s="5" t="s">
        <v>103</v>
      </c>
      <c r="C464" s="5" t="s">
        <v>273</v>
      </c>
      <c r="D464" s="7">
        <v>5192594.5729</v>
      </c>
    </row>
    <row r="465" spans="1:4">
      <c r="A465" s="5">
        <v>460</v>
      </c>
      <c r="B465" s="5" t="s">
        <v>103</v>
      </c>
      <c r="C465" s="5" t="s">
        <v>275</v>
      </c>
      <c r="D465" s="7">
        <v>6282344.7740000002</v>
      </c>
    </row>
    <row r="466" spans="1:4">
      <c r="A466" s="5">
        <v>461</v>
      </c>
      <c r="B466" s="5" t="s">
        <v>103</v>
      </c>
      <c r="C466" s="5" t="s">
        <v>277</v>
      </c>
      <c r="D466" s="7">
        <v>4827547.6341000004</v>
      </c>
    </row>
    <row r="467" spans="1:4">
      <c r="A467" s="5">
        <v>462</v>
      </c>
      <c r="B467" s="5" t="s">
        <v>103</v>
      </c>
      <c r="C467" s="5" t="s">
        <v>279</v>
      </c>
      <c r="D467" s="7">
        <v>5766253.9765999997</v>
      </c>
    </row>
    <row r="468" spans="1:4">
      <c r="A468" s="5">
        <v>463</v>
      </c>
      <c r="B468" s="5" t="s">
        <v>104</v>
      </c>
      <c r="C468" s="5" t="s">
        <v>283</v>
      </c>
      <c r="D468" s="7">
        <v>6159187.0214999998</v>
      </c>
    </row>
    <row r="469" spans="1:4">
      <c r="A469" s="5">
        <v>464</v>
      </c>
      <c r="B469" s="5" t="s">
        <v>104</v>
      </c>
      <c r="C469" s="5" t="s">
        <v>285</v>
      </c>
      <c r="D469" s="7">
        <v>5446111.2422000002</v>
      </c>
    </row>
    <row r="470" spans="1:4">
      <c r="A470" s="5">
        <v>465</v>
      </c>
      <c r="B470" s="5" t="s">
        <v>104</v>
      </c>
      <c r="C470" s="5" t="s">
        <v>287</v>
      </c>
      <c r="D470" s="7">
        <v>6873256.3165999996</v>
      </c>
    </row>
    <row r="471" spans="1:4">
      <c r="A471" s="5">
        <v>466</v>
      </c>
      <c r="B471" s="5" t="s">
        <v>104</v>
      </c>
      <c r="C471" s="5" t="s">
        <v>289</v>
      </c>
      <c r="D471" s="7">
        <v>5442173.9574999996</v>
      </c>
    </row>
    <row r="472" spans="1:4">
      <c r="A472" s="5">
        <v>467</v>
      </c>
      <c r="B472" s="5" t="s">
        <v>104</v>
      </c>
      <c r="C472" s="5" t="s">
        <v>291</v>
      </c>
      <c r="D472" s="7">
        <v>7441142.1843999997</v>
      </c>
    </row>
    <row r="473" spans="1:4">
      <c r="A473" s="5">
        <v>468</v>
      </c>
      <c r="B473" s="5" t="s">
        <v>104</v>
      </c>
      <c r="C473" s="5" t="s">
        <v>293</v>
      </c>
      <c r="D473" s="7">
        <v>5785542.5070000002</v>
      </c>
    </row>
    <row r="474" spans="1:4">
      <c r="A474" s="5">
        <v>469</v>
      </c>
      <c r="B474" s="5" t="s">
        <v>104</v>
      </c>
      <c r="C474" s="5" t="s">
        <v>295</v>
      </c>
      <c r="D474" s="7">
        <v>4854595.5891000004</v>
      </c>
    </row>
    <row r="475" spans="1:4">
      <c r="A475" s="5">
        <v>470</v>
      </c>
      <c r="B475" s="5" t="s">
        <v>104</v>
      </c>
      <c r="C475" s="5" t="s">
        <v>297</v>
      </c>
      <c r="D475" s="7">
        <v>5688623.1029000003</v>
      </c>
    </row>
    <row r="476" spans="1:4">
      <c r="A476" s="5">
        <v>471</v>
      </c>
      <c r="B476" s="5" t="s">
        <v>104</v>
      </c>
      <c r="C476" s="5" t="s">
        <v>299</v>
      </c>
      <c r="D476" s="7">
        <v>5578854.7655999996</v>
      </c>
    </row>
    <row r="477" spans="1:4">
      <c r="A477" s="5">
        <v>472</v>
      </c>
      <c r="B477" s="5" t="s">
        <v>104</v>
      </c>
      <c r="C477" s="5" t="s">
        <v>301</v>
      </c>
      <c r="D477" s="7">
        <v>5898115.2030999996</v>
      </c>
    </row>
    <row r="478" spans="1:4">
      <c r="A478" s="5">
        <v>473</v>
      </c>
      <c r="B478" s="5" t="s">
        <v>104</v>
      </c>
      <c r="C478" s="5" t="s">
        <v>104</v>
      </c>
      <c r="D478" s="7">
        <v>5192043.7088000001</v>
      </c>
    </row>
    <row r="479" spans="1:4">
      <c r="A479" s="5">
        <v>474</v>
      </c>
      <c r="B479" s="5" t="s">
        <v>104</v>
      </c>
      <c r="C479" s="5" t="s">
        <v>304</v>
      </c>
      <c r="D479" s="7">
        <v>6628720.0016000001</v>
      </c>
    </row>
    <row r="480" spans="1:4">
      <c r="A480" s="5">
        <v>475</v>
      </c>
      <c r="B480" s="5" t="s">
        <v>104</v>
      </c>
      <c r="C480" s="5" t="s">
        <v>306</v>
      </c>
      <c r="D480" s="7">
        <v>4375350.8131999997</v>
      </c>
    </row>
    <row r="481" spans="1:4">
      <c r="A481" s="5">
        <v>476</v>
      </c>
      <c r="B481" s="5" t="s">
        <v>104</v>
      </c>
      <c r="C481" s="5" t="s">
        <v>308</v>
      </c>
      <c r="D481" s="7">
        <v>6361103.1200999999</v>
      </c>
    </row>
    <row r="482" spans="1:4">
      <c r="A482" s="5">
        <v>477</v>
      </c>
      <c r="B482" s="5" t="s">
        <v>104</v>
      </c>
      <c r="C482" s="5" t="s">
        <v>310</v>
      </c>
      <c r="D482" s="7">
        <v>4247692.5750000002</v>
      </c>
    </row>
    <row r="483" spans="1:4">
      <c r="A483" s="5">
        <v>478</v>
      </c>
      <c r="B483" s="5" t="s">
        <v>104</v>
      </c>
      <c r="C483" s="5" t="s">
        <v>312</v>
      </c>
      <c r="D483" s="7">
        <v>6158186.1747000003</v>
      </c>
    </row>
    <row r="484" spans="1:4">
      <c r="A484" s="5">
        <v>479</v>
      </c>
      <c r="B484" s="5" t="s">
        <v>104</v>
      </c>
      <c r="C484" s="5" t="s">
        <v>314</v>
      </c>
      <c r="D484" s="7">
        <v>7701809.5269999998</v>
      </c>
    </row>
    <row r="485" spans="1:4">
      <c r="A485" s="5">
        <v>480</v>
      </c>
      <c r="B485" s="5" t="s">
        <v>104</v>
      </c>
      <c r="C485" s="5" t="s">
        <v>317</v>
      </c>
      <c r="D485" s="7">
        <v>5817765.9877000004</v>
      </c>
    </row>
    <row r="486" spans="1:4">
      <c r="A486" s="5">
        <v>481</v>
      </c>
      <c r="B486" s="5" t="s">
        <v>104</v>
      </c>
      <c r="C486" s="5" t="s">
        <v>318</v>
      </c>
      <c r="D486" s="7">
        <v>5508528.1284999996</v>
      </c>
    </row>
    <row r="487" spans="1:4">
      <c r="A487" s="5">
        <v>482</v>
      </c>
      <c r="B487" s="5" t="s">
        <v>104</v>
      </c>
      <c r="C487" s="5" t="s">
        <v>320</v>
      </c>
      <c r="D487" s="7">
        <v>5906473.9369999999</v>
      </c>
    </row>
    <row r="488" spans="1:4">
      <c r="A488" s="5">
        <v>483</v>
      </c>
      <c r="B488" s="5" t="s">
        <v>104</v>
      </c>
      <c r="C488" s="5" t="s">
        <v>322</v>
      </c>
      <c r="D488" s="7">
        <v>5779280.7580000004</v>
      </c>
    </row>
    <row r="489" spans="1:4">
      <c r="A489" s="5">
        <v>484</v>
      </c>
      <c r="B489" s="5" t="s">
        <v>105</v>
      </c>
      <c r="C489" s="5" t="s">
        <v>326</v>
      </c>
      <c r="D489" s="7">
        <v>4991290.3058000002</v>
      </c>
    </row>
    <row r="490" spans="1:4">
      <c r="A490" s="5">
        <v>485</v>
      </c>
      <c r="B490" s="5" t="s">
        <v>105</v>
      </c>
      <c r="C490" s="5" t="s">
        <v>328</v>
      </c>
      <c r="D490" s="7">
        <v>8207887.5554999998</v>
      </c>
    </row>
    <row r="491" spans="1:4">
      <c r="A491" s="5">
        <v>486</v>
      </c>
      <c r="B491" s="5" t="s">
        <v>105</v>
      </c>
      <c r="C491" s="5" t="s">
        <v>330</v>
      </c>
      <c r="D491" s="7">
        <v>6290830.5952000003</v>
      </c>
    </row>
    <row r="492" spans="1:4">
      <c r="A492" s="5">
        <v>487</v>
      </c>
      <c r="B492" s="5" t="s">
        <v>105</v>
      </c>
      <c r="C492" s="5" t="s">
        <v>95</v>
      </c>
      <c r="D492" s="7">
        <v>3830975.8845000002</v>
      </c>
    </row>
    <row r="493" spans="1:4">
      <c r="A493" s="5">
        <v>488</v>
      </c>
      <c r="B493" s="5" t="s">
        <v>105</v>
      </c>
      <c r="C493" s="5" t="s">
        <v>333</v>
      </c>
      <c r="D493" s="7">
        <v>6647142.9532000003</v>
      </c>
    </row>
    <row r="494" spans="1:4">
      <c r="A494" s="5">
        <v>489</v>
      </c>
      <c r="B494" s="5" t="s">
        <v>105</v>
      </c>
      <c r="C494" s="5" t="s">
        <v>335</v>
      </c>
      <c r="D494" s="7">
        <v>5713134.8287000004</v>
      </c>
    </row>
    <row r="495" spans="1:4">
      <c r="A495" s="5">
        <v>490</v>
      </c>
      <c r="B495" s="5" t="s">
        <v>105</v>
      </c>
      <c r="C495" s="5" t="s">
        <v>337</v>
      </c>
      <c r="D495" s="7">
        <v>5774706.5323999999</v>
      </c>
    </row>
    <row r="496" spans="1:4">
      <c r="A496" s="5">
        <v>491</v>
      </c>
      <c r="B496" s="5" t="s">
        <v>105</v>
      </c>
      <c r="C496" s="5" t="s">
        <v>339</v>
      </c>
      <c r="D496" s="7">
        <v>6809645.9530999996</v>
      </c>
    </row>
    <row r="497" spans="1:4">
      <c r="A497" s="5">
        <v>492</v>
      </c>
      <c r="B497" s="5" t="s">
        <v>105</v>
      </c>
      <c r="C497" s="5" t="s">
        <v>341</v>
      </c>
      <c r="D497" s="7">
        <v>4922927.5762999998</v>
      </c>
    </row>
    <row r="498" spans="1:4">
      <c r="A498" s="5">
        <v>493</v>
      </c>
      <c r="B498" s="5" t="s">
        <v>105</v>
      </c>
      <c r="C498" s="5" t="s">
        <v>343</v>
      </c>
      <c r="D498" s="7">
        <v>6546642.4214000003</v>
      </c>
    </row>
    <row r="499" spans="1:4">
      <c r="A499" s="5">
        <v>494</v>
      </c>
      <c r="B499" s="5" t="s">
        <v>105</v>
      </c>
      <c r="C499" s="5" t="s">
        <v>345</v>
      </c>
      <c r="D499" s="7">
        <v>5189715.6168999998</v>
      </c>
    </row>
    <row r="500" spans="1:4">
      <c r="A500" s="5">
        <v>495</v>
      </c>
      <c r="B500" s="5" t="s">
        <v>105</v>
      </c>
      <c r="C500" s="5" t="s">
        <v>347</v>
      </c>
      <c r="D500" s="7">
        <v>4609675.7742999997</v>
      </c>
    </row>
    <row r="501" spans="1:4">
      <c r="A501" s="5">
        <v>496</v>
      </c>
      <c r="B501" s="5" t="s">
        <v>105</v>
      </c>
      <c r="C501" s="5" t="s">
        <v>349</v>
      </c>
      <c r="D501" s="7">
        <v>3856993.3179000001</v>
      </c>
    </row>
    <row r="502" spans="1:4">
      <c r="A502" s="5">
        <v>497</v>
      </c>
      <c r="B502" s="5" t="s">
        <v>105</v>
      </c>
      <c r="C502" s="5" t="s">
        <v>351</v>
      </c>
      <c r="D502" s="7">
        <v>3840637.8102000002</v>
      </c>
    </row>
    <row r="503" spans="1:4">
      <c r="A503" s="5">
        <v>498</v>
      </c>
      <c r="B503" s="5" t="s">
        <v>105</v>
      </c>
      <c r="C503" s="5" t="s">
        <v>353</v>
      </c>
      <c r="D503" s="7">
        <v>4385369.4641000004</v>
      </c>
    </row>
    <row r="504" spans="1:4">
      <c r="A504" s="5">
        <v>499</v>
      </c>
      <c r="B504" s="5" t="s">
        <v>105</v>
      </c>
      <c r="C504" s="5" t="s">
        <v>355</v>
      </c>
      <c r="D504" s="7">
        <v>5307814.5636999998</v>
      </c>
    </row>
    <row r="505" spans="1:4">
      <c r="A505" s="5">
        <v>500</v>
      </c>
      <c r="B505" s="5" t="s">
        <v>106</v>
      </c>
      <c r="C505" s="5" t="s">
        <v>360</v>
      </c>
      <c r="D505" s="7">
        <v>7448521.8537999997</v>
      </c>
    </row>
    <row r="506" spans="1:4">
      <c r="A506" s="5">
        <v>501</v>
      </c>
      <c r="B506" s="5" t="s">
        <v>106</v>
      </c>
      <c r="C506" s="5" t="s">
        <v>362</v>
      </c>
      <c r="D506" s="7">
        <v>9574090.3798999991</v>
      </c>
    </row>
    <row r="507" spans="1:4">
      <c r="A507" s="5">
        <v>502</v>
      </c>
      <c r="B507" s="5" t="s">
        <v>106</v>
      </c>
      <c r="C507" s="5" t="s">
        <v>364</v>
      </c>
      <c r="D507" s="7">
        <v>15440046.475500001</v>
      </c>
    </row>
    <row r="508" spans="1:4">
      <c r="A508" s="5">
        <v>503</v>
      </c>
      <c r="B508" s="5" t="s">
        <v>106</v>
      </c>
      <c r="C508" s="5" t="s">
        <v>366</v>
      </c>
      <c r="D508" s="7">
        <v>6034641.8947999999</v>
      </c>
    </row>
    <row r="509" spans="1:4">
      <c r="A509" s="5">
        <v>504</v>
      </c>
      <c r="B509" s="5" t="s">
        <v>106</v>
      </c>
      <c r="C509" s="5" t="s">
        <v>368</v>
      </c>
      <c r="D509" s="7">
        <v>5073601.4294999996</v>
      </c>
    </row>
    <row r="510" spans="1:4">
      <c r="A510" s="5">
        <v>505</v>
      </c>
      <c r="B510" s="5" t="s">
        <v>106</v>
      </c>
      <c r="C510" s="5" t="s">
        <v>370</v>
      </c>
      <c r="D510" s="7">
        <v>5672099.2158000004</v>
      </c>
    </row>
    <row r="511" spans="1:4">
      <c r="A511" s="5">
        <v>506</v>
      </c>
      <c r="B511" s="5" t="s">
        <v>106</v>
      </c>
      <c r="C511" s="5" t="s">
        <v>372</v>
      </c>
      <c r="D511" s="7">
        <v>5207853.6507999999</v>
      </c>
    </row>
    <row r="512" spans="1:4">
      <c r="A512" s="5">
        <v>507</v>
      </c>
      <c r="B512" s="5" t="s">
        <v>106</v>
      </c>
      <c r="C512" s="5" t="s">
        <v>374</v>
      </c>
      <c r="D512" s="7">
        <v>6282721.3936999999</v>
      </c>
    </row>
    <row r="513" spans="1:4">
      <c r="A513" s="5">
        <v>508</v>
      </c>
      <c r="B513" s="5" t="s">
        <v>106</v>
      </c>
      <c r="C513" s="5" t="s">
        <v>377</v>
      </c>
      <c r="D513" s="7">
        <v>4195202.8515999997</v>
      </c>
    </row>
    <row r="514" spans="1:4">
      <c r="A514" s="5">
        <v>509</v>
      </c>
      <c r="B514" s="5" t="s">
        <v>106</v>
      </c>
      <c r="C514" s="5" t="s">
        <v>379</v>
      </c>
      <c r="D514" s="7">
        <v>7153243.2457999997</v>
      </c>
    </row>
    <row r="515" spans="1:4">
      <c r="A515" s="5">
        <v>510</v>
      </c>
      <c r="B515" s="5" t="s">
        <v>106</v>
      </c>
      <c r="C515" s="5" t="s">
        <v>381</v>
      </c>
      <c r="D515" s="7">
        <v>6183624.9156999998</v>
      </c>
    </row>
    <row r="516" spans="1:4">
      <c r="A516" s="5">
        <v>511</v>
      </c>
      <c r="B516" s="5" t="s">
        <v>106</v>
      </c>
      <c r="C516" s="5" t="s">
        <v>383</v>
      </c>
      <c r="D516" s="7">
        <v>8502177.5559999999</v>
      </c>
    </row>
    <row r="517" spans="1:4">
      <c r="A517" s="5">
        <v>512</v>
      </c>
      <c r="B517" s="5" t="s">
        <v>106</v>
      </c>
      <c r="C517" s="5" t="s">
        <v>385</v>
      </c>
      <c r="D517" s="7">
        <v>9198806.7511</v>
      </c>
    </row>
    <row r="518" spans="1:4">
      <c r="A518" s="5">
        <v>513</v>
      </c>
      <c r="B518" s="5" t="s">
        <v>106</v>
      </c>
      <c r="C518" s="5" t="s">
        <v>387</v>
      </c>
      <c r="D518" s="7">
        <v>4951859.9052999998</v>
      </c>
    </row>
    <row r="519" spans="1:4">
      <c r="A519" s="5">
        <v>514</v>
      </c>
      <c r="B519" s="5" t="s">
        <v>106</v>
      </c>
      <c r="C519" s="5" t="s">
        <v>389</v>
      </c>
      <c r="D519" s="7">
        <v>5975214.2551999995</v>
      </c>
    </row>
    <row r="520" spans="1:4">
      <c r="A520" s="5">
        <v>515</v>
      </c>
      <c r="B520" s="5" t="s">
        <v>106</v>
      </c>
      <c r="C520" s="5" t="s">
        <v>391</v>
      </c>
      <c r="D520" s="7">
        <v>8945344.6571999993</v>
      </c>
    </row>
    <row r="521" spans="1:4">
      <c r="A521" s="5">
        <v>516</v>
      </c>
      <c r="B521" s="5" t="s">
        <v>106</v>
      </c>
      <c r="C521" s="5" t="s">
        <v>393</v>
      </c>
      <c r="D521" s="7">
        <v>8679837.9179999996</v>
      </c>
    </row>
    <row r="522" spans="1:4">
      <c r="A522" s="5">
        <v>517</v>
      </c>
      <c r="B522" s="5" t="s">
        <v>106</v>
      </c>
      <c r="C522" s="5" t="s">
        <v>395</v>
      </c>
      <c r="D522" s="7">
        <v>8862840.3935000002</v>
      </c>
    </row>
    <row r="523" spans="1:4">
      <c r="A523" s="5">
        <v>518</v>
      </c>
      <c r="B523" s="5" t="s">
        <v>106</v>
      </c>
      <c r="C523" s="5" t="s">
        <v>397</v>
      </c>
      <c r="D523" s="7">
        <v>6854578.3277000003</v>
      </c>
    </row>
    <row r="524" spans="1:4">
      <c r="A524" s="5">
        <v>519</v>
      </c>
      <c r="B524" s="5" t="s">
        <v>106</v>
      </c>
      <c r="C524" s="5" t="s">
        <v>399</v>
      </c>
      <c r="D524" s="7">
        <v>7840765.409</v>
      </c>
    </row>
    <row r="525" spans="1:4">
      <c r="A525" s="5">
        <v>520</v>
      </c>
      <c r="B525" s="5" t="s">
        <v>107</v>
      </c>
      <c r="C525" s="5" t="s">
        <v>403</v>
      </c>
      <c r="D525" s="7">
        <v>5130222.9316999996</v>
      </c>
    </row>
    <row r="526" spans="1:4">
      <c r="A526" s="5">
        <v>521</v>
      </c>
      <c r="B526" s="5" t="s">
        <v>107</v>
      </c>
      <c r="C526" s="5" t="s">
        <v>405</v>
      </c>
      <c r="D526" s="7">
        <v>5782687.5581</v>
      </c>
    </row>
    <row r="527" spans="1:4">
      <c r="A527" s="5">
        <v>522</v>
      </c>
      <c r="B527" s="5" t="s">
        <v>107</v>
      </c>
      <c r="C527" s="5" t="s">
        <v>407</v>
      </c>
      <c r="D527" s="7">
        <v>5920958.7320999997</v>
      </c>
    </row>
    <row r="528" spans="1:4">
      <c r="A528" s="5">
        <v>523</v>
      </c>
      <c r="B528" s="5" t="s">
        <v>107</v>
      </c>
      <c r="C528" s="5" t="s">
        <v>409</v>
      </c>
      <c r="D528" s="7">
        <v>6985924.4263000004</v>
      </c>
    </row>
    <row r="529" spans="1:4">
      <c r="A529" s="5">
        <v>524</v>
      </c>
      <c r="B529" s="5" t="s">
        <v>107</v>
      </c>
      <c r="C529" s="5" t="s">
        <v>411</v>
      </c>
      <c r="D529" s="7">
        <v>4988250.6749</v>
      </c>
    </row>
    <row r="530" spans="1:4">
      <c r="A530" s="5">
        <v>525</v>
      </c>
      <c r="B530" s="5" t="s">
        <v>107</v>
      </c>
      <c r="C530" s="5" t="s">
        <v>413</v>
      </c>
      <c r="D530" s="7">
        <v>4690623.2594999997</v>
      </c>
    </row>
    <row r="531" spans="1:4">
      <c r="A531" s="5">
        <v>526</v>
      </c>
      <c r="B531" s="5" t="s">
        <v>107</v>
      </c>
      <c r="C531" s="5" t="s">
        <v>415</v>
      </c>
      <c r="D531" s="7">
        <v>5359458.3733999999</v>
      </c>
    </row>
    <row r="532" spans="1:4">
      <c r="A532" s="5">
        <v>527</v>
      </c>
      <c r="B532" s="5" t="s">
        <v>107</v>
      </c>
      <c r="C532" s="5" t="s">
        <v>417</v>
      </c>
      <c r="D532" s="7">
        <v>8386259.9571000002</v>
      </c>
    </row>
    <row r="533" spans="1:4">
      <c r="A533" s="5">
        <v>528</v>
      </c>
      <c r="B533" s="5" t="s">
        <v>107</v>
      </c>
      <c r="C533" s="5" t="s">
        <v>419</v>
      </c>
      <c r="D533" s="7">
        <v>7771920.6993000004</v>
      </c>
    </row>
    <row r="534" spans="1:4">
      <c r="A534" s="5">
        <v>529</v>
      </c>
      <c r="B534" s="5" t="s">
        <v>107</v>
      </c>
      <c r="C534" s="5" t="s">
        <v>421</v>
      </c>
      <c r="D534" s="7">
        <v>5945401.0071</v>
      </c>
    </row>
    <row r="535" spans="1:4">
      <c r="A535" s="5">
        <v>530</v>
      </c>
      <c r="B535" s="5" t="s">
        <v>107</v>
      </c>
      <c r="C535" s="5" t="s">
        <v>402</v>
      </c>
      <c r="D535" s="7">
        <v>5690897.6929000001</v>
      </c>
    </row>
    <row r="536" spans="1:4">
      <c r="A536" s="5">
        <v>531</v>
      </c>
      <c r="B536" s="5" t="s">
        <v>107</v>
      </c>
      <c r="C536" s="5" t="s">
        <v>425</v>
      </c>
      <c r="D536" s="7">
        <v>6046170.3295</v>
      </c>
    </row>
    <row r="537" spans="1:4">
      <c r="A537" s="5">
        <v>532</v>
      </c>
      <c r="B537" s="5" t="s">
        <v>107</v>
      </c>
      <c r="C537" s="5" t="s">
        <v>427</v>
      </c>
      <c r="D537" s="7">
        <v>4853655.2380999997</v>
      </c>
    </row>
    <row r="538" spans="1:4">
      <c r="A538" s="5">
        <v>533</v>
      </c>
      <c r="B538" s="5" t="s">
        <v>108</v>
      </c>
      <c r="C538" s="5" t="s">
        <v>431</v>
      </c>
      <c r="D538" s="7">
        <v>5336954.6464999998</v>
      </c>
    </row>
    <row r="539" spans="1:4">
      <c r="A539" s="5">
        <v>534</v>
      </c>
      <c r="B539" s="5" t="s">
        <v>108</v>
      </c>
      <c r="C539" s="5" t="s">
        <v>433</v>
      </c>
      <c r="D539" s="7">
        <v>4582139.4560000002</v>
      </c>
    </row>
    <row r="540" spans="1:4">
      <c r="A540" s="5">
        <v>535</v>
      </c>
      <c r="B540" s="5" t="s">
        <v>108</v>
      </c>
      <c r="C540" s="5" t="s">
        <v>435</v>
      </c>
      <c r="D540" s="7">
        <v>5247500.9501</v>
      </c>
    </row>
    <row r="541" spans="1:4">
      <c r="A541" s="5">
        <v>536</v>
      </c>
      <c r="B541" s="5" t="s">
        <v>108</v>
      </c>
      <c r="C541" s="5" t="s">
        <v>437</v>
      </c>
      <c r="D541" s="7">
        <v>8542160.7047000006</v>
      </c>
    </row>
    <row r="542" spans="1:4">
      <c r="A542" s="5">
        <v>537</v>
      </c>
      <c r="B542" s="5" t="s">
        <v>108</v>
      </c>
      <c r="C542" s="5" t="s">
        <v>439</v>
      </c>
      <c r="D542" s="7">
        <v>5127480.6731000002</v>
      </c>
    </row>
    <row r="543" spans="1:4">
      <c r="A543" s="5">
        <v>538</v>
      </c>
      <c r="B543" s="5" t="s">
        <v>108</v>
      </c>
      <c r="C543" s="5" t="s">
        <v>441</v>
      </c>
      <c r="D543" s="7">
        <v>5400323.875</v>
      </c>
    </row>
    <row r="544" spans="1:4">
      <c r="A544" s="5">
        <v>539</v>
      </c>
      <c r="B544" s="5" t="s">
        <v>108</v>
      </c>
      <c r="C544" s="5" t="s">
        <v>443</v>
      </c>
      <c r="D544" s="7">
        <v>5115120.2421000004</v>
      </c>
    </row>
    <row r="545" spans="1:4">
      <c r="A545" s="5">
        <v>540</v>
      </c>
      <c r="B545" s="5" t="s">
        <v>108</v>
      </c>
      <c r="C545" s="5" t="s">
        <v>445</v>
      </c>
      <c r="D545" s="7">
        <v>4570684.0181</v>
      </c>
    </row>
    <row r="546" spans="1:4">
      <c r="A546" s="5">
        <v>541</v>
      </c>
      <c r="B546" s="5" t="s">
        <v>108</v>
      </c>
      <c r="C546" s="5" t="s">
        <v>447</v>
      </c>
      <c r="D546" s="7">
        <v>4932031.1752000004</v>
      </c>
    </row>
    <row r="547" spans="1:4">
      <c r="A547" s="5">
        <v>542</v>
      </c>
      <c r="B547" s="5" t="s">
        <v>108</v>
      </c>
      <c r="C547" s="5" t="s">
        <v>449</v>
      </c>
      <c r="D547" s="7">
        <v>5431551.7671999997</v>
      </c>
    </row>
    <row r="548" spans="1:4">
      <c r="A548" s="5">
        <v>543</v>
      </c>
      <c r="B548" s="5" t="s">
        <v>108</v>
      </c>
      <c r="C548" s="5" t="s">
        <v>451</v>
      </c>
      <c r="D548" s="7">
        <v>5305511.0120000001</v>
      </c>
    </row>
    <row r="549" spans="1:4">
      <c r="A549" s="5">
        <v>544</v>
      </c>
      <c r="B549" s="5" t="s">
        <v>108</v>
      </c>
      <c r="C549" s="5" t="s">
        <v>453</v>
      </c>
      <c r="D549" s="7">
        <v>6173603.1103999997</v>
      </c>
    </row>
    <row r="550" spans="1:4">
      <c r="A550" s="5">
        <v>545</v>
      </c>
      <c r="B550" s="5" t="s">
        <v>108</v>
      </c>
      <c r="C550" s="5" t="s">
        <v>455</v>
      </c>
      <c r="D550" s="7">
        <v>6324060.3844999997</v>
      </c>
    </row>
    <row r="551" spans="1:4">
      <c r="A551" s="5">
        <v>546</v>
      </c>
      <c r="B551" s="5" t="s">
        <v>108</v>
      </c>
      <c r="C551" s="5" t="s">
        <v>457</v>
      </c>
      <c r="D551" s="7">
        <v>7002413.2455000002</v>
      </c>
    </row>
    <row r="552" spans="1:4">
      <c r="A552" s="5">
        <v>547</v>
      </c>
      <c r="B552" s="5" t="s">
        <v>108</v>
      </c>
      <c r="C552" s="5" t="s">
        <v>459</v>
      </c>
      <c r="D552" s="7">
        <v>8262412.2531000003</v>
      </c>
    </row>
    <row r="553" spans="1:4">
      <c r="A553" s="5">
        <v>548</v>
      </c>
      <c r="B553" s="5" t="s">
        <v>108</v>
      </c>
      <c r="C553" s="5" t="s">
        <v>461</v>
      </c>
      <c r="D553" s="7">
        <v>5232851.7762000002</v>
      </c>
    </row>
    <row r="554" spans="1:4">
      <c r="A554" s="5">
        <v>549</v>
      </c>
      <c r="B554" s="5" t="s">
        <v>108</v>
      </c>
      <c r="C554" s="5" t="s">
        <v>463</v>
      </c>
      <c r="D554" s="7">
        <v>7102554.3570999997</v>
      </c>
    </row>
    <row r="555" spans="1:4">
      <c r="A555" s="5">
        <v>550</v>
      </c>
      <c r="B555" s="5" t="s">
        <v>108</v>
      </c>
      <c r="C555" s="5" t="s">
        <v>465</v>
      </c>
      <c r="D555" s="7">
        <v>4797622.8644000003</v>
      </c>
    </row>
    <row r="556" spans="1:4">
      <c r="A556" s="5">
        <v>551</v>
      </c>
      <c r="B556" s="5" t="s">
        <v>108</v>
      </c>
      <c r="C556" s="5" t="s">
        <v>467</v>
      </c>
      <c r="D556" s="7">
        <v>5521511.3455999997</v>
      </c>
    </row>
    <row r="557" spans="1:4">
      <c r="A557" s="5">
        <v>552</v>
      </c>
      <c r="B557" s="5" t="s">
        <v>108</v>
      </c>
      <c r="C557" s="5" t="s">
        <v>469</v>
      </c>
      <c r="D557" s="7">
        <v>6368444.9641000004</v>
      </c>
    </row>
    <row r="558" spans="1:4">
      <c r="A558" s="5">
        <v>553</v>
      </c>
      <c r="B558" s="5" t="s">
        <v>108</v>
      </c>
      <c r="C558" s="5" t="s">
        <v>471</v>
      </c>
      <c r="D558" s="7">
        <v>5990990.4293999998</v>
      </c>
    </row>
    <row r="559" spans="1:4">
      <c r="A559" s="5">
        <v>554</v>
      </c>
      <c r="B559" s="5" t="s">
        <v>108</v>
      </c>
      <c r="C559" s="5" t="s">
        <v>473</v>
      </c>
      <c r="D559" s="7">
        <v>7082268.6164999995</v>
      </c>
    </row>
    <row r="560" spans="1:4">
      <c r="A560" s="5">
        <v>555</v>
      </c>
      <c r="B560" s="5" t="s">
        <v>108</v>
      </c>
      <c r="C560" s="5" t="s">
        <v>475</v>
      </c>
      <c r="D560" s="7">
        <v>5179440.8794999998</v>
      </c>
    </row>
    <row r="561" spans="1:4">
      <c r="A561" s="5">
        <v>556</v>
      </c>
      <c r="B561" s="5" t="s">
        <v>108</v>
      </c>
      <c r="C561" s="5" t="s">
        <v>477</v>
      </c>
      <c r="D561" s="7">
        <v>4215242.7569000004</v>
      </c>
    </row>
    <row r="562" spans="1:4">
      <c r="A562" s="5">
        <v>557</v>
      </c>
      <c r="B562" s="5" t="s">
        <v>108</v>
      </c>
      <c r="C562" s="5" t="s">
        <v>479</v>
      </c>
      <c r="D562" s="7">
        <v>4698691.8832</v>
      </c>
    </row>
    <row r="563" spans="1:4">
      <c r="A563" s="5">
        <v>558</v>
      </c>
      <c r="B563" s="5" t="s">
        <v>109</v>
      </c>
      <c r="C563" s="5" t="s">
        <v>484</v>
      </c>
      <c r="D563" s="7">
        <v>5275290.6814000001</v>
      </c>
    </row>
    <row r="564" spans="1:4">
      <c r="A564" s="5">
        <v>559</v>
      </c>
      <c r="B564" s="5" t="s">
        <v>109</v>
      </c>
      <c r="C564" s="5" t="s">
        <v>486</v>
      </c>
      <c r="D564" s="7">
        <v>5445930.4513999997</v>
      </c>
    </row>
    <row r="565" spans="1:4">
      <c r="A565" s="5">
        <v>560</v>
      </c>
      <c r="B565" s="5" t="s">
        <v>109</v>
      </c>
      <c r="C565" s="5" t="s">
        <v>488</v>
      </c>
      <c r="D565" s="7">
        <v>8370575.3886000002</v>
      </c>
    </row>
    <row r="566" spans="1:4">
      <c r="A566" s="5">
        <v>561</v>
      </c>
      <c r="B566" s="5" t="s">
        <v>109</v>
      </c>
      <c r="C566" s="5" t="s">
        <v>490</v>
      </c>
      <c r="D566" s="7">
        <v>5503723.5872</v>
      </c>
    </row>
    <row r="567" spans="1:4">
      <c r="A567" s="5">
        <v>562</v>
      </c>
      <c r="B567" s="5" t="s">
        <v>109</v>
      </c>
      <c r="C567" s="5" t="s">
        <v>492</v>
      </c>
      <c r="D567" s="7">
        <v>4932319.6524</v>
      </c>
    </row>
    <row r="568" spans="1:4">
      <c r="A568" s="5">
        <v>563</v>
      </c>
      <c r="B568" s="5" t="s">
        <v>109</v>
      </c>
      <c r="C568" s="5" t="s">
        <v>494</v>
      </c>
      <c r="D568" s="7">
        <v>3751891.2201</v>
      </c>
    </row>
    <row r="569" spans="1:4">
      <c r="A569" s="5">
        <v>564</v>
      </c>
      <c r="B569" s="5" t="s">
        <v>109</v>
      </c>
      <c r="C569" s="5" t="s">
        <v>496</v>
      </c>
      <c r="D569" s="7">
        <v>3655005.0539000002</v>
      </c>
    </row>
    <row r="570" spans="1:4">
      <c r="A570" s="5">
        <v>565</v>
      </c>
      <c r="B570" s="5" t="s">
        <v>109</v>
      </c>
      <c r="C570" s="5" t="s">
        <v>498</v>
      </c>
      <c r="D570" s="7">
        <v>8207158.9537000004</v>
      </c>
    </row>
    <row r="571" spans="1:4">
      <c r="A571" s="5">
        <v>566</v>
      </c>
      <c r="B571" s="5" t="s">
        <v>109</v>
      </c>
      <c r="C571" s="5" t="s">
        <v>500</v>
      </c>
      <c r="D571" s="7">
        <v>4884280.1206</v>
      </c>
    </row>
    <row r="572" spans="1:4">
      <c r="A572" s="5">
        <v>567</v>
      </c>
      <c r="B572" s="5" t="s">
        <v>109</v>
      </c>
      <c r="C572" s="5" t="s">
        <v>502</v>
      </c>
      <c r="D572" s="7">
        <v>6102430.4204000002</v>
      </c>
    </row>
    <row r="573" spans="1:4">
      <c r="A573" s="5">
        <v>568</v>
      </c>
      <c r="B573" s="5" t="s">
        <v>109</v>
      </c>
      <c r="C573" s="5" t="s">
        <v>504</v>
      </c>
      <c r="D573" s="7">
        <v>4708027.7397999996</v>
      </c>
    </row>
    <row r="574" spans="1:4">
      <c r="A574" s="5">
        <v>569</v>
      </c>
      <c r="B574" s="5" t="s">
        <v>109</v>
      </c>
      <c r="C574" s="5" t="s">
        <v>506</v>
      </c>
      <c r="D574" s="7">
        <v>4253497.1195999999</v>
      </c>
    </row>
    <row r="575" spans="1:4">
      <c r="A575" s="5">
        <v>570</v>
      </c>
      <c r="B575" s="5" t="s">
        <v>109</v>
      </c>
      <c r="C575" s="5" t="s">
        <v>508</v>
      </c>
      <c r="D575" s="7">
        <v>3835624.9690999999</v>
      </c>
    </row>
    <row r="576" spans="1:4">
      <c r="A576" s="5">
        <v>571</v>
      </c>
      <c r="B576" s="5" t="s">
        <v>109</v>
      </c>
      <c r="C576" s="5" t="s">
        <v>510</v>
      </c>
      <c r="D576" s="7">
        <v>4409538.0044</v>
      </c>
    </row>
    <row r="577" spans="1:4">
      <c r="A577" s="5">
        <v>572</v>
      </c>
      <c r="B577" s="5" t="s">
        <v>109</v>
      </c>
      <c r="C577" s="5" t="s">
        <v>512</v>
      </c>
      <c r="D577" s="7">
        <v>4618630.0876000002</v>
      </c>
    </row>
    <row r="578" spans="1:4">
      <c r="A578" s="5">
        <v>573</v>
      </c>
      <c r="B578" s="5" t="s">
        <v>109</v>
      </c>
      <c r="C578" s="5" t="s">
        <v>514</v>
      </c>
      <c r="D578" s="7">
        <v>5600102.8738000002</v>
      </c>
    </row>
    <row r="579" spans="1:4">
      <c r="A579" s="5">
        <v>574</v>
      </c>
      <c r="B579" s="5" t="s">
        <v>109</v>
      </c>
      <c r="C579" s="5" t="s">
        <v>516</v>
      </c>
      <c r="D579" s="7">
        <v>4701174.5236999998</v>
      </c>
    </row>
    <row r="580" spans="1:4">
      <c r="A580" s="5">
        <v>575</v>
      </c>
      <c r="B580" s="5" t="s">
        <v>109</v>
      </c>
      <c r="C580" s="5" t="s">
        <v>518</v>
      </c>
      <c r="D580" s="7">
        <v>4369252.6694999998</v>
      </c>
    </row>
    <row r="581" spans="1:4">
      <c r="A581" s="5">
        <v>576</v>
      </c>
      <c r="B581" s="5" t="s">
        <v>109</v>
      </c>
      <c r="C581" s="5" t="s">
        <v>521</v>
      </c>
      <c r="D581" s="7">
        <v>4150100.5625999998</v>
      </c>
    </row>
    <row r="582" spans="1:4">
      <c r="A582" s="5">
        <v>577</v>
      </c>
      <c r="B582" s="5" t="s">
        <v>109</v>
      </c>
      <c r="C582" s="5" t="s">
        <v>523</v>
      </c>
      <c r="D582" s="7">
        <v>5628907.8924000002</v>
      </c>
    </row>
    <row r="583" spans="1:4">
      <c r="A583" s="5">
        <v>578</v>
      </c>
      <c r="B583" s="5" t="s">
        <v>110</v>
      </c>
      <c r="C583" s="5" t="s">
        <v>527</v>
      </c>
      <c r="D583" s="7">
        <v>5425814.6805999996</v>
      </c>
    </row>
    <row r="584" spans="1:4">
      <c r="A584" s="5">
        <v>579</v>
      </c>
      <c r="B584" s="5" t="s">
        <v>110</v>
      </c>
      <c r="C584" s="5" t="s">
        <v>529</v>
      </c>
      <c r="D584" s="7">
        <v>5739641.7582999999</v>
      </c>
    </row>
    <row r="585" spans="1:4">
      <c r="A585" s="5">
        <v>580</v>
      </c>
      <c r="B585" s="5" t="s">
        <v>110</v>
      </c>
      <c r="C585" s="5" t="s">
        <v>531</v>
      </c>
      <c r="D585" s="7">
        <v>5843427.7472000001</v>
      </c>
    </row>
    <row r="586" spans="1:4">
      <c r="A586" s="5">
        <v>581</v>
      </c>
      <c r="B586" s="5" t="s">
        <v>110</v>
      </c>
      <c r="C586" s="5" t="s">
        <v>533</v>
      </c>
      <c r="D586" s="7">
        <v>4334170.6194000002</v>
      </c>
    </row>
    <row r="587" spans="1:4">
      <c r="A587" s="5">
        <v>582</v>
      </c>
      <c r="B587" s="5" t="s">
        <v>110</v>
      </c>
      <c r="C587" s="5" t="s">
        <v>535</v>
      </c>
      <c r="D587" s="7">
        <v>4541686.2785999998</v>
      </c>
    </row>
    <row r="588" spans="1:4">
      <c r="A588" s="5">
        <v>583</v>
      </c>
      <c r="B588" s="5" t="s">
        <v>110</v>
      </c>
      <c r="C588" s="5" t="s">
        <v>537</v>
      </c>
      <c r="D588" s="7">
        <v>6979503.7753999997</v>
      </c>
    </row>
    <row r="589" spans="1:4">
      <c r="A589" s="5">
        <v>584</v>
      </c>
      <c r="B589" s="5" t="s">
        <v>110</v>
      </c>
      <c r="C589" s="5" t="s">
        <v>539</v>
      </c>
      <c r="D589" s="7">
        <v>4915535.8805</v>
      </c>
    </row>
    <row r="590" spans="1:4">
      <c r="A590" s="5">
        <v>585</v>
      </c>
      <c r="B590" s="5" t="s">
        <v>110</v>
      </c>
      <c r="C590" s="5" t="s">
        <v>541</v>
      </c>
      <c r="D590" s="7">
        <v>4952424.9122000001</v>
      </c>
    </row>
    <row r="591" spans="1:4">
      <c r="A591" s="5">
        <v>586</v>
      </c>
      <c r="B591" s="5" t="s">
        <v>110</v>
      </c>
      <c r="C591" s="5" t="s">
        <v>543</v>
      </c>
      <c r="D591" s="7">
        <v>5954024.0363999996</v>
      </c>
    </row>
    <row r="592" spans="1:4">
      <c r="A592" s="5">
        <v>587</v>
      </c>
      <c r="B592" s="5" t="s">
        <v>110</v>
      </c>
      <c r="C592" s="5" t="s">
        <v>545</v>
      </c>
      <c r="D592" s="7">
        <v>6460846.7337999996</v>
      </c>
    </row>
    <row r="593" spans="1:4">
      <c r="A593" s="5">
        <v>588</v>
      </c>
      <c r="B593" s="5" t="s">
        <v>110</v>
      </c>
      <c r="C593" s="5" t="s">
        <v>547</v>
      </c>
      <c r="D593" s="7">
        <v>4943512.2067999998</v>
      </c>
    </row>
    <row r="594" spans="1:4">
      <c r="A594" s="5">
        <v>589</v>
      </c>
      <c r="B594" s="5" t="s">
        <v>110</v>
      </c>
      <c r="C594" s="5" t="s">
        <v>549</v>
      </c>
      <c r="D594" s="7">
        <v>5116859.1730000004</v>
      </c>
    </row>
    <row r="595" spans="1:4">
      <c r="A595" s="5">
        <v>590</v>
      </c>
      <c r="B595" s="5" t="s">
        <v>110</v>
      </c>
      <c r="C595" s="5" t="s">
        <v>551</v>
      </c>
      <c r="D595" s="7">
        <v>4755181.1019000001</v>
      </c>
    </row>
    <row r="596" spans="1:4">
      <c r="A596" s="5">
        <v>591</v>
      </c>
      <c r="B596" s="5" t="s">
        <v>110</v>
      </c>
      <c r="C596" s="5" t="s">
        <v>553</v>
      </c>
      <c r="D596" s="7">
        <v>5947002.8589000003</v>
      </c>
    </row>
    <row r="597" spans="1:4">
      <c r="A597" s="5">
        <v>592</v>
      </c>
      <c r="B597" s="5" t="s">
        <v>110</v>
      </c>
      <c r="C597" s="5" t="s">
        <v>555</v>
      </c>
      <c r="D597" s="7">
        <v>3946838.3881000001</v>
      </c>
    </row>
    <row r="598" spans="1:4">
      <c r="A598" s="5">
        <v>593</v>
      </c>
      <c r="B598" s="5" t="s">
        <v>110</v>
      </c>
      <c r="C598" s="5" t="s">
        <v>557</v>
      </c>
      <c r="D598" s="7">
        <v>6523049.5727000004</v>
      </c>
    </row>
    <row r="599" spans="1:4">
      <c r="A599" s="5">
        <v>594</v>
      </c>
      <c r="B599" s="5" t="s">
        <v>110</v>
      </c>
      <c r="C599" s="5" t="s">
        <v>559</v>
      </c>
      <c r="D599" s="7">
        <v>5255808.3015000001</v>
      </c>
    </row>
    <row r="600" spans="1:4">
      <c r="A600" s="5">
        <v>595</v>
      </c>
      <c r="B600" s="5" t="s">
        <v>110</v>
      </c>
      <c r="C600" s="5" t="s">
        <v>561</v>
      </c>
      <c r="D600" s="7">
        <v>6166455.6314000003</v>
      </c>
    </row>
    <row r="601" spans="1:4">
      <c r="A601" s="5">
        <v>596</v>
      </c>
      <c r="B601" s="5" t="s">
        <v>111</v>
      </c>
      <c r="C601" s="5" t="s">
        <v>565</v>
      </c>
      <c r="D601" s="7">
        <v>3853746.3243999998</v>
      </c>
    </row>
    <row r="602" spans="1:4">
      <c r="A602" s="5">
        <v>597</v>
      </c>
      <c r="B602" s="5" t="s">
        <v>111</v>
      </c>
      <c r="C602" s="5" t="s">
        <v>567</v>
      </c>
      <c r="D602" s="7">
        <v>3864556.6162</v>
      </c>
    </row>
    <row r="603" spans="1:4">
      <c r="A603" s="5">
        <v>598</v>
      </c>
      <c r="B603" s="5" t="s">
        <v>111</v>
      </c>
      <c r="C603" s="5" t="s">
        <v>569</v>
      </c>
      <c r="D603" s="7">
        <v>4814588.3987999996</v>
      </c>
    </row>
    <row r="604" spans="1:4">
      <c r="A604" s="5">
        <v>599</v>
      </c>
      <c r="B604" s="5" t="s">
        <v>111</v>
      </c>
      <c r="C604" s="5" t="s">
        <v>571</v>
      </c>
      <c r="D604" s="7">
        <v>4255989.7265999997</v>
      </c>
    </row>
    <row r="605" spans="1:4">
      <c r="A605" s="5">
        <v>600</v>
      </c>
      <c r="B605" s="5" t="s">
        <v>111</v>
      </c>
      <c r="C605" s="5" t="s">
        <v>574</v>
      </c>
      <c r="D605" s="7">
        <v>4027501.6592999999</v>
      </c>
    </row>
    <row r="606" spans="1:4">
      <c r="A606" s="5">
        <v>601</v>
      </c>
      <c r="B606" s="5" t="s">
        <v>111</v>
      </c>
      <c r="C606" s="5" t="s">
        <v>576</v>
      </c>
      <c r="D606" s="7">
        <v>4587126.5706000002</v>
      </c>
    </row>
    <row r="607" spans="1:4">
      <c r="A607" s="5">
        <v>602</v>
      </c>
      <c r="B607" s="5" t="s">
        <v>111</v>
      </c>
      <c r="C607" s="5" t="s">
        <v>578</v>
      </c>
      <c r="D607" s="7">
        <v>3844693.6053999998</v>
      </c>
    </row>
    <row r="608" spans="1:4">
      <c r="A608" s="5">
        <v>603</v>
      </c>
      <c r="B608" s="5" t="s">
        <v>111</v>
      </c>
      <c r="C608" s="5" t="s">
        <v>579</v>
      </c>
      <c r="D608" s="7">
        <v>3992911.6883</v>
      </c>
    </row>
    <row r="609" spans="1:4">
      <c r="A609" s="5">
        <v>604</v>
      </c>
      <c r="B609" s="5" t="s">
        <v>111</v>
      </c>
      <c r="C609" s="5" t="s">
        <v>581</v>
      </c>
      <c r="D609" s="7">
        <v>3927226.7681999998</v>
      </c>
    </row>
    <row r="610" spans="1:4">
      <c r="A610" s="5">
        <v>605</v>
      </c>
      <c r="B610" s="5" t="s">
        <v>111</v>
      </c>
      <c r="C610" s="5" t="s">
        <v>583</v>
      </c>
      <c r="D610" s="7">
        <v>4458178.4305999996</v>
      </c>
    </row>
    <row r="611" spans="1:4">
      <c r="A611" s="5">
        <v>606</v>
      </c>
      <c r="B611" s="5" t="s">
        <v>111</v>
      </c>
      <c r="C611" s="5" t="s">
        <v>585</v>
      </c>
      <c r="D611" s="7">
        <v>4720455.8168000001</v>
      </c>
    </row>
    <row r="612" spans="1:4">
      <c r="A612" s="5">
        <v>607</v>
      </c>
      <c r="B612" s="5" t="s">
        <v>111</v>
      </c>
      <c r="C612" s="5" t="s">
        <v>587</v>
      </c>
      <c r="D612" s="7">
        <v>5455759.1086999997</v>
      </c>
    </row>
    <row r="613" spans="1:4">
      <c r="A613" s="5">
        <v>608</v>
      </c>
      <c r="B613" s="5" t="s">
        <v>111</v>
      </c>
      <c r="C613" s="5" t="s">
        <v>589</v>
      </c>
      <c r="D613" s="7">
        <v>5085554.4354999997</v>
      </c>
    </row>
    <row r="614" spans="1:4">
      <c r="A614" s="5">
        <v>609</v>
      </c>
      <c r="B614" s="5" t="s">
        <v>111</v>
      </c>
      <c r="C614" s="5" t="s">
        <v>591</v>
      </c>
      <c r="D614" s="7">
        <v>4433028.4006000003</v>
      </c>
    </row>
    <row r="615" spans="1:4">
      <c r="A615" s="5">
        <v>610</v>
      </c>
      <c r="B615" s="5" t="s">
        <v>111</v>
      </c>
      <c r="C615" s="5" t="s">
        <v>593</v>
      </c>
      <c r="D615" s="7">
        <v>3483567.9441999998</v>
      </c>
    </row>
    <row r="616" spans="1:4">
      <c r="A616" s="5">
        <v>611</v>
      </c>
      <c r="B616" s="5" t="s">
        <v>111</v>
      </c>
      <c r="C616" s="5" t="s">
        <v>333</v>
      </c>
      <c r="D616" s="7">
        <v>4488906.9880999997</v>
      </c>
    </row>
    <row r="617" spans="1:4">
      <c r="A617" s="5">
        <v>612</v>
      </c>
      <c r="B617" s="5" t="s">
        <v>111</v>
      </c>
      <c r="C617" s="5" t="s">
        <v>596</v>
      </c>
      <c r="D617" s="7">
        <v>3957585.2562000002</v>
      </c>
    </row>
    <row r="618" spans="1:4">
      <c r="A618" s="5">
        <v>613</v>
      </c>
      <c r="B618" s="5" t="s">
        <v>111</v>
      </c>
      <c r="C618" s="5" t="s">
        <v>598</v>
      </c>
      <c r="D618" s="7">
        <v>4125825.4748</v>
      </c>
    </row>
    <row r="619" spans="1:4">
      <c r="A619" s="5">
        <v>614</v>
      </c>
      <c r="B619" s="5" t="s">
        <v>111</v>
      </c>
      <c r="C619" s="5" t="s">
        <v>601</v>
      </c>
      <c r="D619" s="7">
        <v>4372114.1117000002</v>
      </c>
    </row>
    <row r="620" spans="1:4">
      <c r="A620" s="5">
        <v>615</v>
      </c>
      <c r="B620" s="5" t="s">
        <v>111</v>
      </c>
      <c r="C620" s="5" t="s">
        <v>341</v>
      </c>
      <c r="D620" s="7">
        <v>4326853.0073999995</v>
      </c>
    </row>
    <row r="621" spans="1:4">
      <c r="A621" s="5">
        <v>616</v>
      </c>
      <c r="B621" s="5" t="s">
        <v>111</v>
      </c>
      <c r="C621" s="5" t="s">
        <v>604</v>
      </c>
      <c r="D621" s="7">
        <v>4681491.8833999997</v>
      </c>
    </row>
    <row r="622" spans="1:4">
      <c r="A622" s="5">
        <v>617</v>
      </c>
      <c r="B622" s="5" t="s">
        <v>111</v>
      </c>
      <c r="C622" s="5" t="s">
        <v>606</v>
      </c>
      <c r="D622" s="7">
        <v>4249230.3324999996</v>
      </c>
    </row>
    <row r="623" spans="1:4">
      <c r="A623" s="5">
        <v>618</v>
      </c>
      <c r="B623" s="5" t="s">
        <v>111</v>
      </c>
      <c r="C623" s="5" t="s">
        <v>608</v>
      </c>
      <c r="D623" s="7">
        <v>5225024.9913999997</v>
      </c>
    </row>
    <row r="624" spans="1:4">
      <c r="A624" s="5">
        <v>619</v>
      </c>
      <c r="B624" s="5" t="s">
        <v>111</v>
      </c>
      <c r="C624" s="5" t="s">
        <v>610</v>
      </c>
      <c r="D624" s="7">
        <v>4332922.5405999999</v>
      </c>
    </row>
    <row r="625" spans="1:4">
      <c r="A625" s="5">
        <v>620</v>
      </c>
      <c r="B625" s="5" t="s">
        <v>111</v>
      </c>
      <c r="C625" s="5" t="s">
        <v>612</v>
      </c>
      <c r="D625" s="7">
        <v>5708571.5300000003</v>
      </c>
    </row>
    <row r="626" spans="1:4">
      <c r="A626" s="5">
        <v>621</v>
      </c>
      <c r="B626" s="5" t="s">
        <v>111</v>
      </c>
      <c r="C626" s="5" t="s">
        <v>614</v>
      </c>
      <c r="D626" s="7">
        <v>3907384.1080999998</v>
      </c>
    </row>
    <row r="627" spans="1:4">
      <c r="A627" s="5">
        <v>622</v>
      </c>
      <c r="B627" s="5" t="s">
        <v>111</v>
      </c>
      <c r="C627" s="5" t="s">
        <v>616</v>
      </c>
      <c r="D627" s="7">
        <v>4726167.3860999998</v>
      </c>
    </row>
    <row r="628" spans="1:4">
      <c r="A628" s="5">
        <v>623</v>
      </c>
      <c r="B628" s="5" t="s">
        <v>111</v>
      </c>
      <c r="C628" s="5" t="s">
        <v>618</v>
      </c>
      <c r="D628" s="7">
        <v>4741321.1560000004</v>
      </c>
    </row>
    <row r="629" spans="1:4">
      <c r="A629" s="5">
        <v>624</v>
      </c>
      <c r="B629" s="5" t="s">
        <v>111</v>
      </c>
      <c r="C629" s="5" t="s">
        <v>620</v>
      </c>
      <c r="D629" s="7">
        <v>4178173.5463999999</v>
      </c>
    </row>
    <row r="630" spans="1:4">
      <c r="A630" s="5">
        <v>625</v>
      </c>
      <c r="B630" s="5" t="s">
        <v>111</v>
      </c>
      <c r="C630" s="5" t="s">
        <v>622</v>
      </c>
      <c r="D630" s="7">
        <v>4648530.9002</v>
      </c>
    </row>
    <row r="631" spans="1:4">
      <c r="A631" s="5">
        <v>626</v>
      </c>
      <c r="B631" s="5" t="s">
        <v>112</v>
      </c>
      <c r="C631" s="5" t="s">
        <v>626</v>
      </c>
      <c r="D631" s="7">
        <v>4575038.1107000001</v>
      </c>
    </row>
    <row r="632" spans="1:4">
      <c r="A632" s="5">
        <v>627</v>
      </c>
      <c r="B632" s="5" t="s">
        <v>112</v>
      </c>
      <c r="C632" s="5" t="s">
        <v>628</v>
      </c>
      <c r="D632" s="7">
        <v>5312984.0698999995</v>
      </c>
    </row>
    <row r="633" spans="1:4">
      <c r="A633" s="5">
        <v>628</v>
      </c>
      <c r="B633" s="5" t="s">
        <v>112</v>
      </c>
      <c r="C633" s="5" t="s">
        <v>630</v>
      </c>
      <c r="D633" s="7">
        <v>5292312.6796000004</v>
      </c>
    </row>
    <row r="634" spans="1:4">
      <c r="A634" s="5">
        <v>629</v>
      </c>
      <c r="B634" s="5" t="s">
        <v>112</v>
      </c>
      <c r="C634" s="5" t="s">
        <v>632</v>
      </c>
      <c r="D634" s="7">
        <v>5670090.3667000001</v>
      </c>
    </row>
    <row r="635" spans="1:4">
      <c r="A635" s="5">
        <v>630</v>
      </c>
      <c r="B635" s="5" t="s">
        <v>112</v>
      </c>
      <c r="C635" s="5" t="s">
        <v>634</v>
      </c>
      <c r="D635" s="7">
        <v>5752875.4753999999</v>
      </c>
    </row>
    <row r="636" spans="1:4">
      <c r="A636" s="5">
        <v>631</v>
      </c>
      <c r="B636" s="5" t="s">
        <v>112</v>
      </c>
      <c r="C636" s="5" t="s">
        <v>635</v>
      </c>
      <c r="D636" s="7">
        <v>5912784.9825999998</v>
      </c>
    </row>
    <row r="637" spans="1:4">
      <c r="A637" s="5">
        <v>632</v>
      </c>
      <c r="B637" s="5" t="s">
        <v>112</v>
      </c>
      <c r="C637" s="5" t="s">
        <v>638</v>
      </c>
      <c r="D637" s="7">
        <v>6410288.7317000004</v>
      </c>
    </row>
    <row r="638" spans="1:4">
      <c r="A638" s="5">
        <v>633</v>
      </c>
      <c r="B638" s="5" t="s">
        <v>112</v>
      </c>
      <c r="C638" s="5" t="s">
        <v>640</v>
      </c>
      <c r="D638" s="7">
        <v>4717737.2571</v>
      </c>
    </row>
    <row r="639" spans="1:4">
      <c r="A639" s="5">
        <v>634</v>
      </c>
      <c r="B639" s="5" t="s">
        <v>112</v>
      </c>
      <c r="C639" s="5" t="s">
        <v>642</v>
      </c>
      <c r="D639" s="7">
        <v>5598958.4906000001</v>
      </c>
    </row>
    <row r="640" spans="1:4">
      <c r="A640" s="5">
        <v>635</v>
      </c>
      <c r="B640" s="5" t="s">
        <v>112</v>
      </c>
      <c r="C640" s="5" t="s">
        <v>644</v>
      </c>
      <c r="D640" s="7">
        <v>5861852.2555999998</v>
      </c>
    </row>
    <row r="641" spans="1:4">
      <c r="A641" s="5">
        <v>636</v>
      </c>
      <c r="B641" s="5" t="s">
        <v>112</v>
      </c>
      <c r="C641" s="5" t="s">
        <v>646</v>
      </c>
      <c r="D641" s="7">
        <v>4239501.3351999996</v>
      </c>
    </row>
    <row r="642" spans="1:4">
      <c r="A642" s="5">
        <v>637</v>
      </c>
      <c r="B642" s="5" t="s">
        <v>112</v>
      </c>
      <c r="C642" s="5" t="s">
        <v>648</v>
      </c>
      <c r="D642" s="7">
        <v>4421292.8219999997</v>
      </c>
    </row>
    <row r="643" spans="1:4">
      <c r="A643" s="5">
        <v>638</v>
      </c>
      <c r="B643" s="5" t="s">
        <v>112</v>
      </c>
      <c r="C643" s="5" t="s">
        <v>650</v>
      </c>
      <c r="D643" s="7">
        <v>4334207.4302000003</v>
      </c>
    </row>
    <row r="644" spans="1:4">
      <c r="A644" s="5">
        <v>639</v>
      </c>
      <c r="B644" s="5" t="s">
        <v>112</v>
      </c>
      <c r="C644" s="5" t="s">
        <v>652</v>
      </c>
      <c r="D644" s="7">
        <v>6437442.0917999996</v>
      </c>
    </row>
    <row r="645" spans="1:4">
      <c r="A645" s="5">
        <v>640</v>
      </c>
      <c r="B645" s="5" t="s">
        <v>112</v>
      </c>
      <c r="C645" s="5" t="s">
        <v>654</v>
      </c>
      <c r="D645" s="7">
        <v>4389734.1026999997</v>
      </c>
    </row>
    <row r="646" spans="1:4">
      <c r="A646" s="5">
        <v>641</v>
      </c>
      <c r="B646" s="5" t="s">
        <v>112</v>
      </c>
      <c r="C646" s="5" t="s">
        <v>656</v>
      </c>
      <c r="D646" s="7">
        <v>4606402.8540000003</v>
      </c>
    </row>
    <row r="647" spans="1:4">
      <c r="A647" s="5">
        <v>642</v>
      </c>
      <c r="B647" s="5" t="s">
        <v>112</v>
      </c>
      <c r="C647" s="5" t="s">
        <v>658</v>
      </c>
      <c r="D647" s="7">
        <v>6018343.0209999997</v>
      </c>
    </row>
    <row r="648" spans="1:4">
      <c r="A648" s="5">
        <v>643</v>
      </c>
      <c r="B648" s="5" t="s">
        <v>112</v>
      </c>
      <c r="C648" s="5" t="s">
        <v>660</v>
      </c>
      <c r="D648" s="7">
        <v>5203911.8691999996</v>
      </c>
    </row>
    <row r="649" spans="1:4">
      <c r="A649" s="5">
        <v>644</v>
      </c>
      <c r="B649" s="5" t="s">
        <v>112</v>
      </c>
      <c r="C649" s="5" t="s">
        <v>662</v>
      </c>
      <c r="D649" s="7">
        <v>4777267.1824000003</v>
      </c>
    </row>
    <row r="650" spans="1:4">
      <c r="A650" s="5">
        <v>645</v>
      </c>
      <c r="B650" s="5" t="s">
        <v>112</v>
      </c>
      <c r="C650" s="5" t="s">
        <v>664</v>
      </c>
      <c r="D650" s="7">
        <v>4313599.8622000003</v>
      </c>
    </row>
    <row r="651" spans="1:4">
      <c r="A651" s="5">
        <v>646</v>
      </c>
      <c r="B651" s="5" t="s">
        <v>112</v>
      </c>
      <c r="C651" s="5" t="s">
        <v>666</v>
      </c>
      <c r="D651" s="7">
        <v>5327270.4247000003</v>
      </c>
    </row>
    <row r="652" spans="1:4">
      <c r="A652" s="5">
        <v>647</v>
      </c>
      <c r="B652" s="5" t="s">
        <v>112</v>
      </c>
      <c r="C652" s="5" t="s">
        <v>668</v>
      </c>
      <c r="D652" s="7">
        <v>4934462.1621000003</v>
      </c>
    </row>
    <row r="653" spans="1:4">
      <c r="A653" s="5">
        <v>648</v>
      </c>
      <c r="B653" s="5" t="s">
        <v>112</v>
      </c>
      <c r="C653" s="5" t="s">
        <v>670</v>
      </c>
      <c r="D653" s="7">
        <v>5108407.9397</v>
      </c>
    </row>
    <row r="654" spans="1:4">
      <c r="A654" s="5">
        <v>649</v>
      </c>
      <c r="B654" s="5" t="s">
        <v>112</v>
      </c>
      <c r="C654" s="5" t="s">
        <v>672</v>
      </c>
      <c r="D654" s="7">
        <v>4373169.7418</v>
      </c>
    </row>
    <row r="655" spans="1:4">
      <c r="A655" s="5">
        <v>650</v>
      </c>
      <c r="B655" s="5" t="s">
        <v>112</v>
      </c>
      <c r="C655" s="5" t="s">
        <v>674</v>
      </c>
      <c r="D655" s="7">
        <v>4001881.0161000001</v>
      </c>
    </row>
    <row r="656" spans="1:4">
      <c r="A656" s="5">
        <v>651</v>
      </c>
      <c r="B656" s="5" t="s">
        <v>112</v>
      </c>
      <c r="C656" s="5" t="s">
        <v>676</v>
      </c>
      <c r="D656" s="7">
        <v>5304721.2255999995</v>
      </c>
    </row>
    <row r="657" spans="1:4">
      <c r="A657" s="5">
        <v>652</v>
      </c>
      <c r="B657" s="5" t="s">
        <v>112</v>
      </c>
      <c r="C657" s="5" t="s">
        <v>678</v>
      </c>
      <c r="D657" s="7">
        <v>5779642.0409000004</v>
      </c>
    </row>
    <row r="658" spans="1:4">
      <c r="A658" s="5">
        <v>653</v>
      </c>
      <c r="B658" s="5" t="s">
        <v>112</v>
      </c>
      <c r="C658" s="5" t="s">
        <v>680</v>
      </c>
      <c r="D658" s="7">
        <v>4426656.3233000003</v>
      </c>
    </row>
    <row r="659" spans="1:4">
      <c r="A659" s="5">
        <v>654</v>
      </c>
      <c r="B659" s="5" t="s">
        <v>112</v>
      </c>
      <c r="C659" s="5" t="s">
        <v>682</v>
      </c>
      <c r="D659" s="7">
        <v>5323567.2364999996</v>
      </c>
    </row>
    <row r="660" spans="1:4">
      <c r="A660" s="5">
        <v>655</v>
      </c>
      <c r="B660" s="5" t="s">
        <v>112</v>
      </c>
      <c r="C660" s="5" t="s">
        <v>684</v>
      </c>
      <c r="D660" s="7">
        <v>4494867.0299000004</v>
      </c>
    </row>
    <row r="661" spans="1:4">
      <c r="A661" s="5">
        <v>656</v>
      </c>
      <c r="B661" s="5" t="s">
        <v>112</v>
      </c>
      <c r="C661" s="5" t="s">
        <v>686</v>
      </c>
      <c r="D661" s="7">
        <v>4514489.1327</v>
      </c>
    </row>
    <row r="662" spans="1:4">
      <c r="A662" s="5">
        <v>657</v>
      </c>
      <c r="B662" s="5" t="s">
        <v>112</v>
      </c>
      <c r="C662" s="5" t="s">
        <v>688</v>
      </c>
      <c r="D662" s="7">
        <v>4492567.0782000003</v>
      </c>
    </row>
    <row r="663" spans="1:4">
      <c r="A663" s="5">
        <v>658</v>
      </c>
      <c r="B663" s="5" t="s">
        <v>112</v>
      </c>
      <c r="C663" s="5" t="s">
        <v>690</v>
      </c>
      <c r="D663" s="7">
        <v>5178535.6391000003</v>
      </c>
    </row>
    <row r="664" spans="1:4">
      <c r="A664" s="5">
        <v>659</v>
      </c>
      <c r="B664" s="5" t="s">
        <v>113</v>
      </c>
      <c r="C664" s="5" t="s">
        <v>694</v>
      </c>
      <c r="D664" s="7">
        <v>6108531.9611</v>
      </c>
    </row>
    <row r="665" spans="1:4">
      <c r="A665" s="5">
        <v>660</v>
      </c>
      <c r="B665" s="5" t="s">
        <v>113</v>
      </c>
      <c r="C665" s="5" t="s">
        <v>289</v>
      </c>
      <c r="D665" s="7">
        <v>6162004.7691000002</v>
      </c>
    </row>
    <row r="666" spans="1:4">
      <c r="A666" s="5">
        <v>661</v>
      </c>
      <c r="B666" s="5" t="s">
        <v>113</v>
      </c>
      <c r="C666" s="5" t="s">
        <v>697</v>
      </c>
      <c r="D666" s="7">
        <v>6135153.1646999996</v>
      </c>
    </row>
    <row r="667" spans="1:4">
      <c r="A667" s="5">
        <v>662</v>
      </c>
      <c r="B667" s="5" t="s">
        <v>113</v>
      </c>
      <c r="C667" s="5" t="s">
        <v>699</v>
      </c>
      <c r="D667" s="7">
        <v>4657762.3716000002</v>
      </c>
    </row>
    <row r="668" spans="1:4">
      <c r="A668" s="5">
        <v>663</v>
      </c>
      <c r="B668" s="5" t="s">
        <v>113</v>
      </c>
      <c r="C668" s="5" t="s">
        <v>701</v>
      </c>
      <c r="D668" s="7">
        <v>8103870.8493999997</v>
      </c>
    </row>
    <row r="669" spans="1:4">
      <c r="A669" s="5">
        <v>664</v>
      </c>
      <c r="B669" s="5" t="s">
        <v>113</v>
      </c>
      <c r="C669" s="5" t="s">
        <v>703</v>
      </c>
      <c r="D669" s="7">
        <v>7007786.4610000001</v>
      </c>
    </row>
    <row r="670" spans="1:4">
      <c r="A670" s="5">
        <v>665</v>
      </c>
      <c r="B670" s="5" t="s">
        <v>113</v>
      </c>
      <c r="C670" s="5" t="s">
        <v>705</v>
      </c>
      <c r="D670" s="7">
        <v>6151739.7953000003</v>
      </c>
    </row>
    <row r="671" spans="1:4">
      <c r="A671" s="5">
        <v>666</v>
      </c>
      <c r="B671" s="5" t="s">
        <v>113</v>
      </c>
      <c r="C671" s="5" t="s">
        <v>708</v>
      </c>
      <c r="D671" s="7">
        <v>5432978.5942000002</v>
      </c>
    </row>
    <row r="672" spans="1:4">
      <c r="A672" s="5">
        <v>667</v>
      </c>
      <c r="B672" s="5" t="s">
        <v>113</v>
      </c>
      <c r="C672" s="5" t="s">
        <v>710</v>
      </c>
      <c r="D672" s="7">
        <v>5572474.2496999996</v>
      </c>
    </row>
    <row r="673" spans="1:4">
      <c r="A673" s="5">
        <v>668</v>
      </c>
      <c r="B673" s="5" t="s">
        <v>113</v>
      </c>
      <c r="C673" s="5" t="s">
        <v>712</v>
      </c>
      <c r="D673" s="7">
        <v>5286299.4058999997</v>
      </c>
    </row>
    <row r="674" spans="1:4">
      <c r="A674" s="5">
        <v>669</v>
      </c>
      <c r="B674" s="5" t="s">
        <v>113</v>
      </c>
      <c r="C674" s="5" t="s">
        <v>714</v>
      </c>
      <c r="D674" s="7">
        <v>7303708.2219000002</v>
      </c>
    </row>
    <row r="675" spans="1:4">
      <c r="A675" s="5">
        <v>670</v>
      </c>
      <c r="B675" s="5" t="s">
        <v>113</v>
      </c>
      <c r="C675" s="5" t="s">
        <v>716</v>
      </c>
      <c r="D675" s="7">
        <v>4917238.6173</v>
      </c>
    </row>
    <row r="676" spans="1:4">
      <c r="A676" s="5">
        <v>671</v>
      </c>
      <c r="B676" s="5" t="s">
        <v>113</v>
      </c>
      <c r="C676" s="5" t="s">
        <v>717</v>
      </c>
      <c r="D676" s="7">
        <v>6564608.7045999998</v>
      </c>
    </row>
    <row r="677" spans="1:4">
      <c r="A677" s="5">
        <v>672</v>
      </c>
      <c r="B677" s="5" t="s">
        <v>113</v>
      </c>
      <c r="C677" s="5" t="s">
        <v>719</v>
      </c>
      <c r="D677" s="7">
        <v>6555114.1095000003</v>
      </c>
    </row>
    <row r="678" spans="1:4">
      <c r="A678" s="5">
        <v>673</v>
      </c>
      <c r="B678" s="5" t="s">
        <v>113</v>
      </c>
      <c r="C678" s="5" t="s">
        <v>721</v>
      </c>
      <c r="D678" s="7">
        <v>5180351.1216000002</v>
      </c>
    </row>
    <row r="679" spans="1:4">
      <c r="A679" s="5">
        <v>674</v>
      </c>
      <c r="B679" s="5" t="s">
        <v>113</v>
      </c>
      <c r="C679" s="5" t="s">
        <v>723</v>
      </c>
      <c r="D679" s="7">
        <v>6600708.2231999999</v>
      </c>
    </row>
    <row r="680" spans="1:4">
      <c r="A680" s="5">
        <v>675</v>
      </c>
      <c r="B680" s="5" t="s">
        <v>113</v>
      </c>
      <c r="C680" s="5" t="s">
        <v>725</v>
      </c>
      <c r="D680" s="7">
        <v>7013281.8706999999</v>
      </c>
    </row>
    <row r="681" spans="1:4">
      <c r="A681" s="5">
        <v>676</v>
      </c>
      <c r="B681" s="5" t="s">
        <v>114</v>
      </c>
      <c r="C681" s="5" t="s">
        <v>729</v>
      </c>
      <c r="D681" s="7">
        <v>4666333.1909999996</v>
      </c>
    </row>
    <row r="682" spans="1:4">
      <c r="A682" s="5">
        <v>677</v>
      </c>
      <c r="B682" s="5" t="s">
        <v>114</v>
      </c>
      <c r="C682" s="5" t="s">
        <v>732</v>
      </c>
      <c r="D682" s="7">
        <v>5830220.9228999997</v>
      </c>
    </row>
    <row r="683" spans="1:4">
      <c r="A683" s="5">
        <v>678</v>
      </c>
      <c r="B683" s="5" t="s">
        <v>114</v>
      </c>
      <c r="C683" s="5" t="s">
        <v>734</v>
      </c>
      <c r="D683" s="7">
        <v>5370856.4030999998</v>
      </c>
    </row>
    <row r="684" spans="1:4">
      <c r="A684" s="5">
        <v>679</v>
      </c>
      <c r="B684" s="5" t="s">
        <v>114</v>
      </c>
      <c r="C684" s="5" t="s">
        <v>736</v>
      </c>
      <c r="D684" s="7">
        <v>5733281.5991000002</v>
      </c>
    </row>
    <row r="685" spans="1:4">
      <c r="A685" s="5">
        <v>680</v>
      </c>
      <c r="B685" s="5" t="s">
        <v>114</v>
      </c>
      <c r="C685" s="5" t="s">
        <v>738</v>
      </c>
      <c r="D685" s="7">
        <v>5321919.6859999998</v>
      </c>
    </row>
    <row r="686" spans="1:4">
      <c r="A686" s="5">
        <v>681</v>
      </c>
      <c r="B686" s="5" t="s">
        <v>114</v>
      </c>
      <c r="C686" s="5" t="s">
        <v>740</v>
      </c>
      <c r="D686" s="7">
        <v>5321030.4022000004</v>
      </c>
    </row>
    <row r="687" spans="1:4">
      <c r="A687" s="5">
        <v>682</v>
      </c>
      <c r="B687" s="5" t="s">
        <v>114</v>
      </c>
      <c r="C687" s="5" t="s">
        <v>742</v>
      </c>
      <c r="D687" s="7">
        <v>5766779.3931999998</v>
      </c>
    </row>
    <row r="688" spans="1:4">
      <c r="A688" s="5">
        <v>683</v>
      </c>
      <c r="B688" s="5" t="s">
        <v>114</v>
      </c>
      <c r="C688" s="5" t="s">
        <v>744</v>
      </c>
      <c r="D688" s="7">
        <v>5586918.3803000003</v>
      </c>
    </row>
    <row r="689" spans="1:4">
      <c r="A689" s="5">
        <v>684</v>
      </c>
      <c r="B689" s="5" t="s">
        <v>114</v>
      </c>
      <c r="C689" s="5" t="s">
        <v>746</v>
      </c>
      <c r="D689" s="7">
        <v>5328952.0356000001</v>
      </c>
    </row>
    <row r="690" spans="1:4">
      <c r="A690" s="5">
        <v>685</v>
      </c>
      <c r="B690" s="5" t="s">
        <v>114</v>
      </c>
      <c r="C690" s="5" t="s">
        <v>748</v>
      </c>
      <c r="D690" s="7">
        <v>6249053.9398999996</v>
      </c>
    </row>
    <row r="691" spans="1:4">
      <c r="A691" s="5">
        <v>686</v>
      </c>
      <c r="B691" s="5" t="s">
        <v>114</v>
      </c>
      <c r="C691" s="5" t="s">
        <v>750</v>
      </c>
      <c r="D691" s="7">
        <v>5565409.2592000002</v>
      </c>
    </row>
    <row r="692" spans="1:4">
      <c r="A692" s="5">
        <v>687</v>
      </c>
      <c r="B692" s="5" t="s">
        <v>114</v>
      </c>
      <c r="C692" s="5" t="s">
        <v>752</v>
      </c>
      <c r="D692" s="7">
        <v>5326574.0877</v>
      </c>
    </row>
    <row r="693" spans="1:4">
      <c r="A693" s="5">
        <v>688</v>
      </c>
      <c r="B693" s="5" t="s">
        <v>114</v>
      </c>
      <c r="C693" s="5" t="s">
        <v>754</v>
      </c>
      <c r="D693" s="7">
        <v>6323569.2741999999</v>
      </c>
    </row>
    <row r="694" spans="1:4">
      <c r="A694" s="5">
        <v>689</v>
      </c>
      <c r="B694" s="5" t="s">
        <v>114</v>
      </c>
      <c r="C694" s="5" t="s">
        <v>756</v>
      </c>
      <c r="D694" s="7">
        <v>7743896.4168999996</v>
      </c>
    </row>
    <row r="695" spans="1:4">
      <c r="A695" s="5">
        <v>690</v>
      </c>
      <c r="B695" s="5" t="s">
        <v>114</v>
      </c>
      <c r="C695" s="5" t="s">
        <v>758</v>
      </c>
      <c r="D695" s="7">
        <v>6251982.7654999997</v>
      </c>
    </row>
    <row r="696" spans="1:4">
      <c r="A696" s="5">
        <v>691</v>
      </c>
      <c r="B696" s="5" t="s">
        <v>114</v>
      </c>
      <c r="C696" s="5" t="s">
        <v>760</v>
      </c>
      <c r="D696" s="7">
        <v>6308798.7873</v>
      </c>
    </row>
    <row r="697" spans="1:4">
      <c r="A697" s="5">
        <v>692</v>
      </c>
      <c r="B697" s="5" t="s">
        <v>114</v>
      </c>
      <c r="C697" s="5" t="s">
        <v>762</v>
      </c>
      <c r="D697" s="7">
        <v>4334426.5665999996</v>
      </c>
    </row>
    <row r="698" spans="1:4">
      <c r="A698" s="5">
        <v>693</v>
      </c>
      <c r="B698" s="5" t="s">
        <v>114</v>
      </c>
      <c r="C698" s="5" t="s">
        <v>764</v>
      </c>
      <c r="D698" s="7">
        <v>5333530.4045000002</v>
      </c>
    </row>
    <row r="699" spans="1:4">
      <c r="A699" s="5">
        <v>694</v>
      </c>
      <c r="B699" s="5" t="s">
        <v>114</v>
      </c>
      <c r="C699" s="5" t="s">
        <v>766</v>
      </c>
      <c r="D699" s="7">
        <v>4227348.7193999998</v>
      </c>
    </row>
    <row r="700" spans="1:4">
      <c r="A700" s="5">
        <v>695</v>
      </c>
      <c r="B700" s="5" t="s">
        <v>114</v>
      </c>
      <c r="C700" s="5" t="s">
        <v>768</v>
      </c>
      <c r="D700" s="7">
        <v>4572593.7479999997</v>
      </c>
    </row>
    <row r="701" spans="1:4">
      <c r="A701" s="5">
        <v>696</v>
      </c>
      <c r="B701" s="5" t="s">
        <v>114</v>
      </c>
      <c r="C701" s="5" t="s">
        <v>770</v>
      </c>
      <c r="D701" s="7">
        <v>4722657.0751</v>
      </c>
    </row>
    <row r="702" spans="1:4">
      <c r="A702" s="5">
        <v>697</v>
      </c>
      <c r="B702" s="5" t="s">
        <v>114</v>
      </c>
      <c r="C702" s="5" t="s">
        <v>772</v>
      </c>
      <c r="D702" s="7">
        <v>8770587.3835000005</v>
      </c>
    </row>
    <row r="703" spans="1:4">
      <c r="A703" s="5">
        <v>698</v>
      </c>
      <c r="B703" s="5" t="s">
        <v>114</v>
      </c>
      <c r="C703" s="5" t="s">
        <v>774</v>
      </c>
      <c r="D703" s="7">
        <v>5191189.4565000003</v>
      </c>
    </row>
    <row r="704" spans="1:4">
      <c r="A704" s="5">
        <v>699</v>
      </c>
      <c r="B704" s="5" t="s">
        <v>115</v>
      </c>
      <c r="C704" s="5" t="s">
        <v>778</v>
      </c>
      <c r="D704" s="7">
        <v>4863693.0717000002</v>
      </c>
    </row>
    <row r="705" spans="1:4">
      <c r="A705" s="5">
        <v>700</v>
      </c>
      <c r="B705" s="5" t="s">
        <v>115</v>
      </c>
      <c r="C705" s="5" t="s">
        <v>780</v>
      </c>
      <c r="D705" s="7">
        <v>5536512.4267999995</v>
      </c>
    </row>
    <row r="706" spans="1:4">
      <c r="A706" s="5">
        <v>701</v>
      </c>
      <c r="B706" s="5" t="s">
        <v>115</v>
      </c>
      <c r="C706" s="5" t="s">
        <v>782</v>
      </c>
      <c r="D706" s="7">
        <v>5966512.4716999996</v>
      </c>
    </row>
    <row r="707" spans="1:4">
      <c r="A707" s="5">
        <v>702</v>
      </c>
      <c r="B707" s="5" t="s">
        <v>115</v>
      </c>
      <c r="C707" s="5" t="s">
        <v>784</v>
      </c>
      <c r="D707" s="7">
        <v>6478214.3918000003</v>
      </c>
    </row>
    <row r="708" spans="1:4">
      <c r="A708" s="5">
        <v>703</v>
      </c>
      <c r="B708" s="5" t="s">
        <v>115</v>
      </c>
      <c r="C708" s="5" t="s">
        <v>786</v>
      </c>
      <c r="D708" s="7">
        <v>6094088.1205000002</v>
      </c>
    </row>
    <row r="709" spans="1:4">
      <c r="A709" s="5">
        <v>704</v>
      </c>
      <c r="B709" s="5" t="s">
        <v>115</v>
      </c>
      <c r="C709" s="5" t="s">
        <v>789</v>
      </c>
      <c r="D709" s="7">
        <v>5521933.6317999996</v>
      </c>
    </row>
    <row r="710" spans="1:4">
      <c r="A710" s="5">
        <v>705</v>
      </c>
      <c r="B710" s="5" t="s">
        <v>115</v>
      </c>
      <c r="C710" s="5" t="s">
        <v>791</v>
      </c>
      <c r="D710" s="7">
        <v>6306836.1511000004</v>
      </c>
    </row>
    <row r="711" spans="1:4">
      <c r="A711" s="5">
        <v>706</v>
      </c>
      <c r="B711" s="5" t="s">
        <v>115</v>
      </c>
      <c r="C711" s="5" t="s">
        <v>793</v>
      </c>
      <c r="D711" s="7">
        <v>5381690.9050000003</v>
      </c>
    </row>
    <row r="712" spans="1:4">
      <c r="A712" s="5">
        <v>707</v>
      </c>
      <c r="B712" s="5" t="s">
        <v>115</v>
      </c>
      <c r="C712" s="5" t="s">
        <v>795</v>
      </c>
      <c r="D712" s="7">
        <v>6091673.2483000001</v>
      </c>
    </row>
    <row r="713" spans="1:4">
      <c r="A713" s="5">
        <v>708</v>
      </c>
      <c r="B713" s="5" t="s">
        <v>115</v>
      </c>
      <c r="C713" s="5" t="s">
        <v>797</v>
      </c>
      <c r="D713" s="7">
        <v>5499932.8528000005</v>
      </c>
    </row>
    <row r="714" spans="1:4">
      <c r="A714" s="5">
        <v>709</v>
      </c>
      <c r="B714" s="5" t="s">
        <v>115</v>
      </c>
      <c r="C714" s="5" t="s">
        <v>799</v>
      </c>
      <c r="D714" s="7">
        <v>5100126.8826000001</v>
      </c>
    </row>
    <row r="715" spans="1:4">
      <c r="A715" s="5">
        <v>710</v>
      </c>
      <c r="B715" s="5" t="s">
        <v>115</v>
      </c>
      <c r="C715" s="5" t="s">
        <v>801</v>
      </c>
      <c r="D715" s="7">
        <v>6072321.5822999999</v>
      </c>
    </row>
    <row r="716" spans="1:4">
      <c r="A716" s="5">
        <v>711</v>
      </c>
      <c r="B716" s="5" t="s">
        <v>115</v>
      </c>
      <c r="C716" s="5" t="s">
        <v>803</v>
      </c>
      <c r="D716" s="7">
        <v>6371090.6951000001</v>
      </c>
    </row>
    <row r="717" spans="1:4">
      <c r="A717" s="5">
        <v>712</v>
      </c>
      <c r="B717" s="5" t="s">
        <v>115</v>
      </c>
      <c r="C717" s="5" t="s">
        <v>805</v>
      </c>
      <c r="D717" s="7">
        <v>5740690.2352999998</v>
      </c>
    </row>
    <row r="718" spans="1:4">
      <c r="A718" s="5">
        <v>713</v>
      </c>
      <c r="B718" s="5" t="s">
        <v>115</v>
      </c>
      <c r="C718" s="5" t="s">
        <v>807</v>
      </c>
      <c r="D718" s="7">
        <v>5140436.4345000004</v>
      </c>
    </row>
    <row r="719" spans="1:4">
      <c r="A719" s="5">
        <v>714</v>
      </c>
      <c r="B719" s="5" t="s">
        <v>115</v>
      </c>
      <c r="C719" s="5" t="s">
        <v>809</v>
      </c>
      <c r="D719" s="7">
        <v>5712247.7531000003</v>
      </c>
    </row>
    <row r="720" spans="1:4">
      <c r="A720" s="5">
        <v>715</v>
      </c>
      <c r="B720" s="5" t="s">
        <v>115</v>
      </c>
      <c r="C720" s="5" t="s">
        <v>811</v>
      </c>
      <c r="D720" s="7">
        <v>5666101.3684</v>
      </c>
    </row>
    <row r="721" spans="1:4">
      <c r="A721" s="5">
        <v>716</v>
      </c>
      <c r="B721" s="5" t="s">
        <v>115</v>
      </c>
      <c r="C721" s="5" t="s">
        <v>813</v>
      </c>
      <c r="D721" s="7">
        <v>6344427.2592000002</v>
      </c>
    </row>
    <row r="722" spans="1:4">
      <c r="A722" s="5">
        <v>717</v>
      </c>
      <c r="B722" s="5" t="s">
        <v>115</v>
      </c>
      <c r="C722" s="5" t="s">
        <v>815</v>
      </c>
      <c r="D722" s="7">
        <v>5849306.2518999996</v>
      </c>
    </row>
    <row r="723" spans="1:4">
      <c r="A723" s="5">
        <v>718</v>
      </c>
      <c r="B723" s="5" t="s">
        <v>115</v>
      </c>
      <c r="C723" s="5" t="s">
        <v>817</v>
      </c>
      <c r="D723" s="7">
        <v>5322954.0357999997</v>
      </c>
    </row>
    <row r="724" spans="1:4">
      <c r="A724" s="5">
        <v>719</v>
      </c>
      <c r="B724" s="5" t="s">
        <v>115</v>
      </c>
      <c r="C724" s="5" t="s">
        <v>819</v>
      </c>
      <c r="D724" s="7">
        <v>5487146.6246999996</v>
      </c>
    </row>
    <row r="725" spans="1:4">
      <c r="A725" s="5">
        <v>720</v>
      </c>
      <c r="B725" s="5" t="s">
        <v>115</v>
      </c>
      <c r="C725" s="5" t="s">
        <v>821</v>
      </c>
      <c r="D725" s="7">
        <v>5279487.6730000004</v>
      </c>
    </row>
    <row r="726" spans="1:4">
      <c r="A726" s="5">
        <v>721</v>
      </c>
      <c r="B726" s="5" t="s">
        <v>115</v>
      </c>
      <c r="C726" s="5" t="s">
        <v>823</v>
      </c>
      <c r="D726" s="7">
        <v>4949518.5313999997</v>
      </c>
    </row>
    <row r="727" spans="1:4">
      <c r="A727" s="5">
        <v>722</v>
      </c>
      <c r="B727" s="5" t="s">
        <v>116</v>
      </c>
      <c r="C727" s="5" t="s">
        <v>827</v>
      </c>
      <c r="D727" s="7">
        <v>4912755.8990000002</v>
      </c>
    </row>
    <row r="728" spans="1:4">
      <c r="A728" s="5">
        <v>723</v>
      </c>
      <c r="B728" s="5" t="s">
        <v>116</v>
      </c>
      <c r="C728" s="5" t="s">
        <v>829</v>
      </c>
      <c r="D728" s="7">
        <v>8406856.6947000008</v>
      </c>
    </row>
    <row r="729" spans="1:4">
      <c r="A729" s="5">
        <v>724</v>
      </c>
      <c r="B729" s="5" t="s">
        <v>116</v>
      </c>
      <c r="C729" s="5" t="s">
        <v>831</v>
      </c>
      <c r="D729" s="7">
        <v>5773964.1385000004</v>
      </c>
    </row>
    <row r="730" spans="1:4">
      <c r="A730" s="5">
        <v>725</v>
      </c>
      <c r="B730" s="5" t="s">
        <v>116</v>
      </c>
      <c r="C730" s="5" t="s">
        <v>833</v>
      </c>
      <c r="D730" s="7">
        <v>6894147.7115000002</v>
      </c>
    </row>
    <row r="731" spans="1:4">
      <c r="A731" s="5">
        <v>726</v>
      </c>
      <c r="B731" s="5" t="s">
        <v>116</v>
      </c>
      <c r="C731" s="5" t="s">
        <v>835</v>
      </c>
      <c r="D731" s="7">
        <v>7448061.2280999999</v>
      </c>
    </row>
    <row r="732" spans="1:4">
      <c r="A732" s="5">
        <v>727</v>
      </c>
      <c r="B732" s="5" t="s">
        <v>116</v>
      </c>
      <c r="C732" s="5" t="s">
        <v>837</v>
      </c>
      <c r="D732" s="7">
        <v>5159647.9247000003</v>
      </c>
    </row>
    <row r="733" spans="1:4">
      <c r="A733" s="5">
        <v>728</v>
      </c>
      <c r="B733" s="5" t="s">
        <v>116</v>
      </c>
      <c r="C733" s="5" t="s">
        <v>839</v>
      </c>
      <c r="D733" s="7">
        <v>4962694.3858000003</v>
      </c>
    </row>
    <row r="734" spans="1:4">
      <c r="A734" s="5">
        <v>729</v>
      </c>
      <c r="B734" s="5" t="s">
        <v>116</v>
      </c>
      <c r="C734" s="5" t="s">
        <v>841</v>
      </c>
      <c r="D734" s="7">
        <v>7702780.3794</v>
      </c>
    </row>
    <row r="735" spans="1:4">
      <c r="A735" s="5">
        <v>730</v>
      </c>
      <c r="B735" s="5" t="s">
        <v>116</v>
      </c>
      <c r="C735" s="5" t="s">
        <v>843</v>
      </c>
      <c r="D735" s="7">
        <v>5483141.6025</v>
      </c>
    </row>
    <row r="736" spans="1:4">
      <c r="A736" s="5">
        <v>731</v>
      </c>
      <c r="B736" s="5" t="s">
        <v>116</v>
      </c>
      <c r="C736" s="5" t="s">
        <v>846</v>
      </c>
      <c r="D736" s="7">
        <v>5062572.1140999999</v>
      </c>
    </row>
    <row r="737" spans="1:4">
      <c r="A737" s="5">
        <v>732</v>
      </c>
      <c r="B737" s="5" t="s">
        <v>116</v>
      </c>
      <c r="C737" s="5" t="s">
        <v>848</v>
      </c>
      <c r="D737" s="7">
        <v>7554967.6135</v>
      </c>
    </row>
    <row r="738" spans="1:4">
      <c r="A738" s="5">
        <v>733</v>
      </c>
      <c r="B738" s="5" t="s">
        <v>116</v>
      </c>
      <c r="C738" s="5" t="s">
        <v>850</v>
      </c>
      <c r="D738" s="7">
        <v>5980001.1162</v>
      </c>
    </row>
    <row r="739" spans="1:4">
      <c r="A739" s="5">
        <v>734</v>
      </c>
      <c r="B739" s="5" t="s">
        <v>116</v>
      </c>
      <c r="C739" s="5" t="s">
        <v>852</v>
      </c>
      <c r="D739" s="7">
        <v>5139731.1769000003</v>
      </c>
    </row>
    <row r="740" spans="1:4">
      <c r="A740" s="5">
        <v>735</v>
      </c>
      <c r="B740" s="5" t="s">
        <v>116</v>
      </c>
      <c r="C740" s="5" t="s">
        <v>854</v>
      </c>
      <c r="D740" s="7">
        <v>7361934.9527000003</v>
      </c>
    </row>
    <row r="741" spans="1:4">
      <c r="A741" s="5">
        <v>736</v>
      </c>
      <c r="B741" s="5" t="s">
        <v>116</v>
      </c>
      <c r="C741" s="5" t="s">
        <v>856</v>
      </c>
      <c r="D741" s="7">
        <v>4880324.5554999998</v>
      </c>
    </row>
    <row r="742" spans="1:4">
      <c r="A742" s="5">
        <v>737</v>
      </c>
      <c r="B742" s="5" t="s">
        <v>116</v>
      </c>
      <c r="C742" s="5" t="s">
        <v>858</v>
      </c>
      <c r="D742" s="7">
        <v>5294174.5071</v>
      </c>
    </row>
    <row r="743" spans="1:4">
      <c r="A743" s="5">
        <v>738</v>
      </c>
      <c r="B743" s="5" t="s">
        <v>117</v>
      </c>
      <c r="C743" s="5" t="s">
        <v>862</v>
      </c>
      <c r="D743" s="7">
        <v>5471214.5297999997</v>
      </c>
    </row>
    <row r="744" spans="1:4">
      <c r="A744" s="5">
        <v>739</v>
      </c>
      <c r="B744" s="5" t="s">
        <v>117</v>
      </c>
      <c r="C744" s="5" t="s">
        <v>864</v>
      </c>
      <c r="D744" s="7">
        <v>6054440.5456999997</v>
      </c>
    </row>
    <row r="745" spans="1:4">
      <c r="A745" s="5">
        <v>740</v>
      </c>
      <c r="B745" s="5" t="s">
        <v>117</v>
      </c>
      <c r="C745" s="5" t="s">
        <v>866</v>
      </c>
      <c r="D745" s="7">
        <v>5069321.9385000002</v>
      </c>
    </row>
    <row r="746" spans="1:4">
      <c r="A746" s="5">
        <v>741</v>
      </c>
      <c r="B746" s="5" t="s">
        <v>117</v>
      </c>
      <c r="C746" s="5" t="s">
        <v>868</v>
      </c>
      <c r="D746" s="7">
        <v>5675792.3899999997</v>
      </c>
    </row>
    <row r="747" spans="1:4">
      <c r="A747" s="5">
        <v>742</v>
      </c>
      <c r="B747" s="5" t="s">
        <v>117</v>
      </c>
      <c r="C747" s="5" t="s">
        <v>870</v>
      </c>
      <c r="D747" s="7">
        <v>7960733.0275999997</v>
      </c>
    </row>
    <row r="748" spans="1:4">
      <c r="A748" s="5">
        <v>743</v>
      </c>
      <c r="B748" s="5" t="s">
        <v>117</v>
      </c>
      <c r="C748" s="5" t="s">
        <v>872</v>
      </c>
      <c r="D748" s="7">
        <v>6597391.6005999995</v>
      </c>
    </row>
    <row r="749" spans="1:4">
      <c r="A749" s="5">
        <v>744</v>
      </c>
      <c r="B749" s="5" t="s">
        <v>117</v>
      </c>
      <c r="C749" s="5" t="s">
        <v>874</v>
      </c>
      <c r="D749" s="7">
        <v>6074021.6950000003</v>
      </c>
    </row>
    <row r="750" spans="1:4">
      <c r="A750" s="5">
        <v>745</v>
      </c>
      <c r="B750" s="5" t="s">
        <v>117</v>
      </c>
      <c r="C750" s="5" t="s">
        <v>876</v>
      </c>
      <c r="D750" s="7">
        <v>5277078.9895000001</v>
      </c>
    </row>
    <row r="751" spans="1:4">
      <c r="A751" s="5">
        <v>746</v>
      </c>
      <c r="B751" s="5" t="s">
        <v>117</v>
      </c>
      <c r="C751" s="5" t="s">
        <v>878</v>
      </c>
      <c r="D751" s="7">
        <v>6959622.8087999998</v>
      </c>
    </row>
    <row r="752" spans="1:4">
      <c r="A752" s="5">
        <v>747</v>
      </c>
      <c r="B752" s="5" t="s">
        <v>117</v>
      </c>
      <c r="C752" s="5" t="s">
        <v>880</v>
      </c>
      <c r="D752" s="7">
        <v>4908305.9397999998</v>
      </c>
    </row>
    <row r="753" spans="1:4">
      <c r="A753" s="5">
        <v>748</v>
      </c>
      <c r="B753" s="5" t="s">
        <v>117</v>
      </c>
      <c r="C753" s="5" t="s">
        <v>882</v>
      </c>
      <c r="D753" s="7">
        <v>4701376.7033000002</v>
      </c>
    </row>
    <row r="754" spans="1:4">
      <c r="A754" s="5">
        <v>749</v>
      </c>
      <c r="B754" s="5" t="s">
        <v>117</v>
      </c>
      <c r="C754" s="5" t="s">
        <v>884</v>
      </c>
      <c r="D754" s="7">
        <v>5040594.7916000001</v>
      </c>
    </row>
    <row r="755" spans="1:4">
      <c r="A755" s="5">
        <v>750</v>
      </c>
      <c r="B755" s="5" t="s">
        <v>117</v>
      </c>
      <c r="C755" s="5" t="s">
        <v>886</v>
      </c>
      <c r="D755" s="7">
        <v>5482243.0028999997</v>
      </c>
    </row>
    <row r="756" spans="1:4">
      <c r="A756" s="5">
        <v>751</v>
      </c>
      <c r="B756" s="5" t="s">
        <v>117</v>
      </c>
      <c r="C756" s="5" t="s">
        <v>888</v>
      </c>
      <c r="D756" s="7">
        <v>6032584.7721999995</v>
      </c>
    </row>
    <row r="757" spans="1:4">
      <c r="A757" s="5">
        <v>752</v>
      </c>
      <c r="B757" s="5" t="s">
        <v>117</v>
      </c>
      <c r="C757" s="5" t="s">
        <v>890</v>
      </c>
      <c r="D757" s="7">
        <v>5595162.0406999998</v>
      </c>
    </row>
    <row r="758" spans="1:4">
      <c r="A758" s="5">
        <v>753</v>
      </c>
      <c r="B758" s="5" t="s">
        <v>117</v>
      </c>
      <c r="C758" s="5" t="s">
        <v>892</v>
      </c>
      <c r="D758" s="7">
        <v>5831117.8191</v>
      </c>
    </row>
    <row r="759" spans="1:4">
      <c r="A759" s="5">
        <v>754</v>
      </c>
      <c r="B759" s="5" t="s">
        <v>117</v>
      </c>
      <c r="C759" s="5" t="s">
        <v>894</v>
      </c>
      <c r="D759" s="7">
        <v>5817261.0432000002</v>
      </c>
    </row>
    <row r="760" spans="1:4">
      <c r="A760" s="5">
        <v>755</v>
      </c>
      <c r="B760" s="5" t="s">
        <v>118</v>
      </c>
      <c r="C760" s="5" t="s">
        <v>897</v>
      </c>
      <c r="D760" s="7">
        <v>5475615.7577999998</v>
      </c>
    </row>
    <row r="761" spans="1:4">
      <c r="A761" s="5">
        <v>756</v>
      </c>
      <c r="B761" s="5" t="s">
        <v>118</v>
      </c>
      <c r="C761" s="5" t="s">
        <v>899</v>
      </c>
      <c r="D761" s="7">
        <v>5301764.5936000003</v>
      </c>
    </row>
    <row r="762" spans="1:4">
      <c r="A762" s="5">
        <v>757</v>
      </c>
      <c r="B762" s="5" t="s">
        <v>118</v>
      </c>
      <c r="C762" s="5" t="s">
        <v>901</v>
      </c>
      <c r="D762" s="7">
        <v>6256950.6359000001</v>
      </c>
    </row>
    <row r="763" spans="1:4">
      <c r="A763" s="5">
        <v>758</v>
      </c>
      <c r="B763" s="5" t="s">
        <v>118</v>
      </c>
      <c r="C763" s="5" t="s">
        <v>903</v>
      </c>
      <c r="D763" s="7">
        <v>6905848.1305999998</v>
      </c>
    </row>
    <row r="764" spans="1:4">
      <c r="A764" s="5">
        <v>759</v>
      </c>
      <c r="B764" s="5" t="s">
        <v>118</v>
      </c>
      <c r="C764" s="5" t="s">
        <v>905</v>
      </c>
      <c r="D764" s="7">
        <v>6010804.8295</v>
      </c>
    </row>
    <row r="765" spans="1:4">
      <c r="A765" s="5">
        <v>760</v>
      </c>
      <c r="B765" s="5" t="s">
        <v>118</v>
      </c>
      <c r="C765" s="5" t="s">
        <v>907</v>
      </c>
      <c r="D765" s="7">
        <v>8346348.8317999998</v>
      </c>
    </row>
    <row r="766" spans="1:4">
      <c r="A766" s="5">
        <v>761</v>
      </c>
      <c r="B766" s="5" t="s">
        <v>118</v>
      </c>
      <c r="C766" s="5" t="s">
        <v>909</v>
      </c>
      <c r="D766" s="7">
        <v>6338689.8387000002</v>
      </c>
    </row>
    <row r="767" spans="1:4">
      <c r="A767" s="5">
        <v>762</v>
      </c>
      <c r="B767" s="5" t="s">
        <v>118</v>
      </c>
      <c r="C767" s="5" t="s">
        <v>824</v>
      </c>
      <c r="D767" s="7">
        <v>5750917.5828999998</v>
      </c>
    </row>
    <row r="768" spans="1:4">
      <c r="A768" s="5">
        <v>763</v>
      </c>
      <c r="B768" s="5" t="s">
        <v>118</v>
      </c>
      <c r="C768" s="5" t="s">
        <v>912</v>
      </c>
      <c r="D768" s="7">
        <v>6216904.5373</v>
      </c>
    </row>
    <row r="769" spans="1:4">
      <c r="A769" s="5">
        <v>764</v>
      </c>
      <c r="B769" s="5" t="s">
        <v>118</v>
      </c>
      <c r="C769" s="5" t="s">
        <v>914</v>
      </c>
      <c r="D769" s="7">
        <v>8205806.9806000004</v>
      </c>
    </row>
    <row r="770" spans="1:4">
      <c r="A770" s="5">
        <v>765</v>
      </c>
      <c r="B770" s="5" t="s">
        <v>118</v>
      </c>
      <c r="C770" s="5" t="s">
        <v>916</v>
      </c>
      <c r="D770" s="7">
        <v>5123541.4933000002</v>
      </c>
    </row>
    <row r="771" spans="1:4">
      <c r="A771" s="5">
        <v>766</v>
      </c>
      <c r="B771" s="5" t="s">
        <v>118</v>
      </c>
      <c r="C771" s="5" t="s">
        <v>918</v>
      </c>
      <c r="D771" s="7">
        <v>5917775.1097999997</v>
      </c>
    </row>
    <row r="772" spans="1:4">
      <c r="A772" s="5">
        <v>767</v>
      </c>
      <c r="B772" s="5" t="s">
        <v>118</v>
      </c>
      <c r="C772" s="5" t="s">
        <v>920</v>
      </c>
      <c r="D772" s="7">
        <v>6269688.1875</v>
      </c>
    </row>
    <row r="773" spans="1:4">
      <c r="A773" s="5">
        <v>768</v>
      </c>
      <c r="B773" s="5" t="s">
        <v>118</v>
      </c>
      <c r="C773" s="5" t="s">
        <v>922</v>
      </c>
      <c r="D773" s="7">
        <v>6924287.4559000004</v>
      </c>
    </row>
    <row r="774" spans="1:4">
      <c r="A774" s="5">
        <v>769</v>
      </c>
      <c r="B774" s="5" t="s">
        <v>926</v>
      </c>
      <c r="C774" s="5" t="s">
        <v>927</v>
      </c>
      <c r="D774" s="7">
        <v>4573981.8393000001</v>
      </c>
    </row>
    <row r="775" spans="1:4">
      <c r="A775" s="5">
        <v>770</v>
      </c>
      <c r="B775" s="5" t="s">
        <v>926</v>
      </c>
      <c r="C775" s="5" t="s">
        <v>929</v>
      </c>
      <c r="D775" s="7">
        <v>11676293.012499999</v>
      </c>
    </row>
    <row r="776" spans="1:4">
      <c r="A776" s="5">
        <v>771</v>
      </c>
      <c r="B776" s="5" t="s">
        <v>926</v>
      </c>
      <c r="C776" s="5" t="s">
        <v>931</v>
      </c>
      <c r="D776" s="7">
        <v>6576936.5486000003</v>
      </c>
    </row>
    <row r="777" spans="1:4">
      <c r="A777" s="5">
        <v>772</v>
      </c>
      <c r="B777" s="5" t="s">
        <v>926</v>
      </c>
      <c r="C777" s="5" t="s">
        <v>933</v>
      </c>
      <c r="D777" s="7">
        <v>5636521.8163999999</v>
      </c>
    </row>
    <row r="778" spans="1:4">
      <c r="A778" s="5">
        <v>773</v>
      </c>
      <c r="B778" s="5" t="s">
        <v>926</v>
      </c>
      <c r="C778" s="5" t="s">
        <v>935</v>
      </c>
      <c r="D778" s="7">
        <v>5355654.1457000002</v>
      </c>
    </row>
    <row r="779" spans="1:4">
      <c r="A779" s="5">
        <v>774</v>
      </c>
      <c r="B779" s="5" t="s">
        <v>926</v>
      </c>
      <c r="C779" s="5" t="s">
        <v>937</v>
      </c>
      <c r="D779" s="7">
        <v>5509029.1089000003</v>
      </c>
    </row>
    <row r="780" spans="1:4">
      <c r="A780" s="5"/>
      <c r="B780" s="5"/>
      <c r="C780" s="5"/>
      <c r="D780" s="8">
        <f>SUM(D6:D779)</f>
        <v>4328414599.9214039</v>
      </c>
    </row>
  </sheetData>
  <mergeCells count="3">
    <mergeCell ref="A1:D1"/>
    <mergeCell ref="A2:D2"/>
    <mergeCell ref="A3:D3"/>
  </mergeCells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3</vt:i4>
      </vt:variant>
    </vt:vector>
  </HeadingPairs>
  <TitlesOfParts>
    <vt:vector size="11" baseType="lpstr">
      <vt:lpstr>MONTHENTRY</vt:lpstr>
      <vt:lpstr>Sum &amp; FG</vt:lpstr>
      <vt:lpstr>State Details</vt:lpstr>
      <vt:lpstr>Sheet1</vt:lpstr>
      <vt:lpstr>LG Details</vt:lpstr>
      <vt:lpstr>Ecology to States</vt:lpstr>
      <vt:lpstr>SumSum</vt:lpstr>
      <vt:lpstr>Ecology to Individual LGCs</vt:lpstr>
      <vt:lpstr>acctmonth</vt:lpstr>
      <vt:lpstr>previuosmonth</vt:lpstr>
      <vt:lpstr>SumSum!Print_Area</vt:lpstr>
    </vt:vector>
  </TitlesOfParts>
  <Company>OAGF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FUNDS</dc:creator>
  <cp:lastModifiedBy>Mikael Chenko</cp:lastModifiedBy>
  <cp:lastPrinted>2022-08-02T11:30:00Z</cp:lastPrinted>
  <dcterms:created xsi:type="dcterms:W3CDTF">2003-11-12T08:54:00Z</dcterms:created>
  <dcterms:modified xsi:type="dcterms:W3CDTF">2022-11-04T15:01:31Z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079ED7BA0A6D41B581B0BB6596D53253</vt:lpwstr>
  </property>
  <property fmtid="{D5CDD505-2E9C-101B-9397-08002B2CF9AE}" pid="3" name="KSOProductBuildVer">
    <vt:lpwstr>1033-11.2.0.11341</vt:lpwstr>
  </property>
</Properties>
</file>